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hidePivotFieldList="1" defaultThemeVersion="124226"/>
  <mc:AlternateContent xmlns:mc="http://schemas.openxmlformats.org/markup-compatibility/2006">
    <mc:Choice Requires="x15">
      <x15ac:absPath xmlns:x15ac="http://schemas.microsoft.com/office/spreadsheetml/2010/11/ac" url="\\file\DUNAJSKA_Shared\RPV\2_OSP\0_PROGRAMY\2_DGV\12_vyzvy\02_DGV02\05_na zverejnenie\redakcna uprava_062021\"/>
    </mc:Choice>
  </mc:AlternateContent>
  <workbookProtection workbookAlgorithmName="SHA-512" workbookHashValue="GPiBT1eWSHP+lemqrp8su5M4MzrPlsFN+UIuAtJB0yG8wgHZIwRbrVArZjE0MMx4pc5WZlYWctewmod98Sdsng==" workbookSaltValue="iANBHxsjl5AB5B6qZWvqxA==" workbookSpinCount="100000" lockStructure="1"/>
  <bookViews>
    <workbookView xWindow="0" yWindow="0" windowWidth="28800" windowHeight="12345"/>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_ftn1" localSheetId="3">Lists!$AM$162</definedName>
    <definedName name="_ftn2" localSheetId="3">Lists!$AM$163</definedName>
    <definedName name="_ftn3" localSheetId="3">Lists!$AM$164</definedName>
    <definedName name="_ftn4" localSheetId="3">Lists!$AM$165</definedName>
    <definedName name="_ftnref1" localSheetId="3">Lists!$AM$130</definedName>
    <definedName name="_ftnref2" localSheetId="3">Lists!$AM$144</definedName>
    <definedName name="_ftnref3" localSheetId="3">Lists!$AT$155</definedName>
    <definedName name="_ftnref4" localSheetId="3">Lists!$AT$156</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Lists!$AM$114:$AM$123</definedName>
    <definedName name="indicators_DGV_OTCB_table">Lists!$AM$114:$AV$123</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cators_LDI_OTC1">Lists!$AM$125:$AM$132</definedName>
    <definedName name="indicators_LDI_OTC1_table">Lists!$AM$125:$AW$132</definedName>
    <definedName name="indicators_LDI_OTC2">Lists!$AM$134:$AM$144</definedName>
    <definedName name="indicators_LDI_OTC2_table">Lists!$AM$134:$AW$144</definedName>
    <definedName name="indicators_LDI_OTC3">Lists!$AM$146:$AM$153</definedName>
    <definedName name="indicators_LDI_OTC3_table">Lists!$AM$146:$AW$153</definedName>
    <definedName name="indicators_LDI_OTCB">Lists!$AM$155:$AM$159</definedName>
    <definedName name="indicators_LDI_OTCB_table">Lists!$AM$155:$AW$159</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DI_OTC1">Lists!$AL$36</definedName>
    <definedName name="LDI_OTC2">Lists!$AL$38:$AL$39</definedName>
    <definedName name="LDI_OTC3">Lists!$AL$41</definedName>
    <definedName name="LDI_OTCB">Lists!$AL$43</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asures_advocacy">Applicant!$I$499</definedName>
    <definedName name="measures_awareness_raising">Applicant!$I$498</definedName>
    <definedName name="measures_capacity_building">Applicant!$I$502</definedName>
    <definedName name="measures_education">Applicant!$I$503</definedName>
    <definedName name="measures_infrastructure">Applicant!$I$501</definedName>
    <definedName name="measures_research">Applicant!$I$500</definedName>
    <definedName name="measures_services_provision">Applicant!$I$504</definedName>
    <definedName name="medical_fields">Lists!$BN$23:$BN$27</definedName>
    <definedName name="Migration">Lists!$N$125</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Lists!$N$110:$N$123</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Lists!$H$13:$H$24</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Applicant!$A$1:$L$987</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LDI">Lists!$AH$18:$AH$21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Lists!$H$26:$H$32</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Lists!$N$1:$O$125</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risk7">Applicant!$B$850</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eneficiary1">Applicant!$I$518</definedName>
    <definedName name="TG_Beneficiary2">Applicant!$I$520</definedName>
    <definedName name="TG_Beneficiary3">Applicant!$I$522</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Intermediary1">Applicant!$H$518</definedName>
    <definedName name="TG_Intermediary2">Applicant!$H$520</definedName>
    <definedName name="TG_Intermediary3">Applicant!$H$522</definedName>
    <definedName name="TG_justice">Lists!$AB$28:$AB$37</definedName>
    <definedName name="TG_migration">Lists!$AB$39:$AB$41</definedName>
    <definedName name="TG_minority">Lists!$AB$43:$AB$49</definedName>
    <definedName name="TG_policy">Lists!$AB$51:$AB$53</definedName>
    <definedName name="TG_specification1">Applicant!$E$518</definedName>
    <definedName name="TG_specification2">Applicant!$E$520</definedName>
    <definedName name="TG_specification3">Applicant!$E$522</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62913"/>
</workbook>
</file>

<file path=xl/calcChain.xml><?xml version="1.0" encoding="utf-8"?>
<calcChain xmlns="http://schemas.openxmlformats.org/spreadsheetml/2006/main">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F442" i="1" a="1"/>
  <c r="E446" i="1" a="1"/>
  <c r="F446" i="1" a="1"/>
  <c r="E442" i="1" a="1"/>
  <c r="E446" i="1" l="1"/>
  <c r="F446" i="1"/>
  <c r="E442" i="1"/>
  <c r="F442" i="1"/>
  <c r="B11" i="1"/>
  <c r="L464" i="1" a="1"/>
  <c r="L464" i="1" s="1"/>
  <c r="L465" i="1" a="1"/>
  <c r="L465" i="1" s="1"/>
  <c r="K699" i="1"/>
  <c r="J591" i="1"/>
  <c r="H591" i="1"/>
  <c r="F591" i="1"/>
  <c r="D591" i="1"/>
  <c r="L481" i="1"/>
  <c r="L482" i="1"/>
  <c r="L483" i="1"/>
  <c r="L484" i="1"/>
  <c r="L485" i="1"/>
  <c r="L486" i="1"/>
  <c r="B2" i="29"/>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H5" i="28" s="1"/>
  <c r="F21" i="28"/>
  <c r="J13" i="28"/>
  <c r="K701" i="1"/>
  <c r="N408" i="1"/>
  <c r="N382" i="1"/>
  <c r="N353" i="1"/>
  <c r="N327" i="1"/>
  <c r="N298" i="1"/>
  <c r="N218" i="1"/>
  <c r="N244" i="1"/>
  <c r="N272" i="1"/>
  <c r="N411" i="1"/>
  <c r="N385" i="1"/>
  <c r="N356" i="1"/>
  <c r="N330" i="1"/>
  <c r="N301" i="1"/>
  <c r="N275" i="1"/>
  <c r="N247" i="1"/>
  <c r="N221" i="1"/>
  <c r="N29" i="1"/>
  <c r="N26" i="1"/>
  <c r="N20" i="1"/>
  <c r="N23" i="1"/>
  <c r="I522" i="1"/>
  <c r="I520" i="1"/>
  <c r="I518" i="1"/>
  <c r="H522" i="1"/>
  <c r="H520" i="1"/>
  <c r="H518" i="1"/>
  <c r="L480" i="1"/>
  <c r="L449" i="1" a="1"/>
  <c r="L449" i="1" s="1"/>
  <c r="L450" i="1" a="1"/>
  <c r="L450" i="1" s="1"/>
  <c r="L451" i="1" a="1"/>
  <c r="L451" i="1" s="1"/>
  <c r="E465" i="1" a="1"/>
  <c r="E465" i="1" s="1"/>
  <c r="F465" i="1" a="1"/>
  <c r="F465" i="1" s="1"/>
  <c r="A82" i="28" a="1"/>
  <c r="A82" i="28" s="1"/>
  <c r="K697" i="1"/>
  <c r="K696" i="1"/>
  <c r="C2" i="12"/>
  <c r="J62" i="28"/>
  <c r="I62" i="28"/>
  <c r="H62" i="28"/>
  <c r="G62" i="28"/>
  <c r="F62" i="28"/>
  <c r="E62" i="28"/>
  <c r="D62" i="28"/>
  <c r="C62" i="28"/>
  <c r="B62" i="28"/>
  <c r="A58" i="28"/>
  <c r="A57" i="28"/>
  <c r="G57" i="28" s="1" a="1"/>
  <c r="G57" i="28" s="1"/>
  <c r="A56" i="28"/>
  <c r="A55" i="28"/>
  <c r="C55" i="28" s="1" a="1"/>
  <c r="C55" i="28" s="1"/>
  <c r="A54" i="28"/>
  <c r="A53" i="28"/>
  <c r="F53" i="28" s="1" a="1"/>
  <c r="F53" i="28" s="1"/>
  <c r="A52" i="28"/>
  <c r="A51" i="28"/>
  <c r="G51" i="28" s="1" a="1"/>
  <c r="G51" i="28" s="1"/>
  <c r="G49" i="28"/>
  <c r="F49" i="28"/>
  <c r="E49" i="28"/>
  <c r="D49" i="28"/>
  <c r="C49" i="28"/>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J14" i="28" s="1" a="1"/>
  <c r="J14" i="28" s="1"/>
  <c r="B5" i="28"/>
  <c r="B4" i="28"/>
  <c r="H4" i="28" s="1"/>
  <c r="B3" i="28"/>
  <c r="H3" i="28" s="1"/>
  <c r="J901" i="1"/>
  <c r="I901" i="1"/>
  <c r="H901" i="1"/>
  <c r="G901" i="1"/>
  <c r="F901" i="1"/>
  <c r="K900" i="1"/>
  <c r="K899" i="1"/>
  <c r="K898" i="1"/>
  <c r="K897" i="1"/>
  <c r="K896" i="1"/>
  <c r="K895" i="1"/>
  <c r="K894" i="1"/>
  <c r="K893" i="1"/>
  <c r="J890" i="1"/>
  <c r="I890" i="1"/>
  <c r="H890" i="1"/>
  <c r="G890" i="1"/>
  <c r="F890" i="1"/>
  <c r="K890" i="1" s="1"/>
  <c r="K889" i="1"/>
  <c r="K888" i="1"/>
  <c r="K887" i="1"/>
  <c r="K886" i="1"/>
  <c r="K885" i="1"/>
  <c r="K884" i="1"/>
  <c r="K883" i="1"/>
  <c r="K882" i="1"/>
  <c r="J876" i="1"/>
  <c r="H850" i="1"/>
  <c r="H849" i="1"/>
  <c r="H848" i="1"/>
  <c r="H847" i="1"/>
  <c r="H846" i="1"/>
  <c r="H845" i="1"/>
  <c r="H844" i="1"/>
  <c r="K686" i="1"/>
  <c r="H43" i="28"/>
  <c r="K684" i="1"/>
  <c r="J683" i="1"/>
  <c r="J691" i="1" s="1"/>
  <c r="J692" i="1" s="1"/>
  <c r="J690" i="1" s="1"/>
  <c r="J590" i="1" s="1"/>
  <c r="I683" i="1"/>
  <c r="I691" i="1" s="1"/>
  <c r="I692" i="1" s="1"/>
  <c r="I690" i="1" s="1"/>
  <c r="H590" i="1" s="1"/>
  <c r="H683" i="1"/>
  <c r="H691" i="1" s="1"/>
  <c r="H692" i="1" s="1"/>
  <c r="H690" i="1" s="1"/>
  <c r="F590" i="1" s="1"/>
  <c r="G683" i="1"/>
  <c r="G691" i="1" s="1"/>
  <c r="F683" i="1"/>
  <c r="F691" i="1" s="1"/>
  <c r="F692" i="1" s="1"/>
  <c r="F690" i="1" s="1"/>
  <c r="J495" i="1"/>
  <c r="B15" i="1"/>
  <c r="K2" i="1"/>
  <c r="C2" i="1"/>
  <c r="E450" i="1" a="1"/>
  <c r="E450" i="1" s="1"/>
  <c r="F450" i="1" a="1"/>
  <c r="F450" i="1" s="1"/>
  <c r="E449" i="1" a="1"/>
  <c r="E449" i="1" s="1"/>
  <c r="F451" i="1" a="1"/>
  <c r="F451" i="1" s="1"/>
  <c r="E451" i="1" a="1"/>
  <c r="E451" i="1" s="1"/>
  <c r="F449" i="1" a="1"/>
  <c r="F449" i="1" s="1"/>
  <c r="E464" i="1" a="1"/>
  <c r="E464" i="1" s="1"/>
  <c r="F464" i="1" a="1"/>
  <c r="F464" i="1" s="1"/>
  <c r="H7" i="28"/>
  <c r="K693" i="1"/>
  <c r="H44" i="28"/>
  <c r="J3" i="12"/>
  <c r="H42" i="28"/>
  <c r="K901" i="1"/>
  <c r="H8" i="28"/>
  <c r="H24" i="28"/>
  <c r="H25" i="28"/>
  <c r="H9" i="28"/>
  <c r="K72" i="28"/>
  <c r="F52" i="28" a="1"/>
  <c r="F52" i="28" s="1"/>
  <c r="E52" i="28" a="1"/>
  <c r="E52" i="28" s="1"/>
  <c r="C52" i="28" a="1"/>
  <c r="C52" i="28" s="1"/>
  <c r="D52" i="28" a="1"/>
  <c r="D52" i="28" s="1"/>
  <c r="G52" i="28" a="1"/>
  <c r="G52" i="28" s="1"/>
  <c r="D53" i="28" a="1"/>
  <c r="D53" i="28" s="1"/>
  <c r="C53" i="28" a="1"/>
  <c r="C53" i="28" s="1"/>
  <c r="G53" i="28" a="1"/>
  <c r="G53" i="28" s="1"/>
  <c r="D57" i="28" a="1"/>
  <c r="D57" i="28" s="1"/>
  <c r="C57" i="28" a="1"/>
  <c r="C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F51" i="28" a="1"/>
  <c r="F51" i="28" s="1"/>
  <c r="E51" i="28" a="1"/>
  <c r="E51" i="28" s="1"/>
  <c r="G55" i="28" a="1"/>
  <c r="G55" i="28" s="1"/>
  <c r="F55" i="28" a="1"/>
  <c r="F55" i="28" s="1"/>
  <c r="E55" i="28" a="1"/>
  <c r="E55" i="28" s="1"/>
  <c r="J4" i="12"/>
  <c r="K71" i="28"/>
  <c r="J5" i="12"/>
  <c r="K70" i="28"/>
  <c r="H23" i="28"/>
  <c r="L11" i="12"/>
  <c r="L12" i="12"/>
  <c r="L10" i="12"/>
  <c r="L13" i="12"/>
  <c r="L448" i="1" a="1"/>
  <c r="L447" i="1" a="1"/>
  <c r="E444" i="1" a="1"/>
  <c r="F444" i="1" a="1"/>
  <c r="L441" i="1" a="1"/>
  <c r="L443" i="1" a="1"/>
  <c r="L460" i="1" a="1"/>
  <c r="F440" i="1" a="1"/>
  <c r="E445" i="1" a="1"/>
  <c r="E460" i="1" a="1"/>
  <c r="L444" i="1" a="1"/>
  <c r="L438" i="1" a="1"/>
  <c r="F439" i="1" a="1"/>
  <c r="F458" i="1" a="1"/>
  <c r="E459" i="1" a="1"/>
  <c r="F462" i="1" a="1"/>
  <c r="F438" i="1" a="1"/>
  <c r="F443" i="1" a="1"/>
  <c r="F445" i="1" a="1"/>
  <c r="E443" i="1" a="1"/>
  <c r="F463" i="1" a="1"/>
  <c r="L462" i="1" a="1"/>
  <c r="L446" i="1" a="1"/>
  <c r="F460" i="1" a="1"/>
  <c r="E462" i="1" a="1"/>
  <c r="L463" i="1" a="1"/>
  <c r="E458" i="1" a="1"/>
  <c r="F461" i="1" a="1"/>
  <c r="L442" i="1" a="1"/>
  <c r="E439" i="1" a="1"/>
  <c r="L440" i="1" a="1"/>
  <c r="E461" i="1" a="1"/>
  <c r="L461" i="1" a="1"/>
  <c r="L458" i="1" a="1"/>
  <c r="E440" i="1" a="1"/>
  <c r="E441" i="1" a="1"/>
  <c r="L445" i="1" a="1"/>
  <c r="L439" i="1" a="1"/>
  <c r="E463" i="1" a="1"/>
  <c r="L459" i="1" a="1"/>
  <c r="F459" i="1" a="1"/>
  <c r="E438" i="1" a="1"/>
  <c r="F441" i="1" a="1"/>
  <c r="F462" i="1" l="1"/>
  <c r="F463" i="1"/>
  <c r="E462" i="1"/>
  <c r="E463" i="1"/>
  <c r="L463" i="1"/>
  <c r="L462" i="1"/>
  <c r="B8" i="29"/>
  <c r="D55" i="28" a="1"/>
  <c r="D55" i="28" s="1"/>
  <c r="D51" i="28" a="1"/>
  <c r="D51" i="28" s="1"/>
  <c r="C51" i="28" a="1"/>
  <c r="C51" i="28" s="1"/>
  <c r="F57" i="28" a="1"/>
  <c r="F57" i="28" s="1"/>
  <c r="E57" i="28" a="1"/>
  <c r="E57" i="28" s="1"/>
  <c r="E53" i="28" a="1"/>
  <c r="E53" i="28" s="1"/>
  <c r="H14" i="28" a="1"/>
  <c r="H14" i="28" s="1"/>
  <c r="J20" i="28" a="1"/>
  <c r="J20" i="28" s="1"/>
  <c r="J19" i="28" a="1"/>
  <c r="J19" i="28" s="1"/>
  <c r="J21" i="28" a="1"/>
  <c r="J21" i="28" s="1"/>
  <c r="J18" i="28" a="1"/>
  <c r="J18" i="28" s="1"/>
  <c r="J17" i="28" a="1"/>
  <c r="J17" i="28" s="1"/>
  <c r="J16" i="28" a="1"/>
  <c r="J16" i="28" s="1"/>
  <c r="J15" i="28" a="1"/>
  <c r="J15" i="28" s="1"/>
  <c r="D69" i="28" a="1"/>
  <c r="D69" i="28" s="1"/>
  <c r="E66" i="28" a="1"/>
  <c r="E66" i="28" s="1"/>
  <c r="H29" i="28" a="1"/>
  <c r="H29" i="28" s="1"/>
  <c r="H65" i="28" a="1"/>
  <c r="H65" i="28" s="1"/>
  <c r="B63" i="28" a="1"/>
  <c r="B63" i="28" s="1"/>
  <c r="E64" i="28" a="1"/>
  <c r="E64" i="28" s="1"/>
  <c r="J63" i="28" a="1"/>
  <c r="J63" i="28" s="1"/>
  <c r="J67" i="28" a="1"/>
  <c r="J67" i="28" s="1"/>
  <c r="C64" i="28" a="1"/>
  <c r="C64" i="28" s="1"/>
  <c r="F50" i="28" a="1"/>
  <c r="F50" i="28" s="1"/>
  <c r="J2" i="12"/>
  <c r="J6" i="12" s="1"/>
  <c r="H40" i="28" a="1"/>
  <c r="H40" i="28" s="1"/>
  <c r="B68" i="28" a="1"/>
  <c r="B68" i="28" s="1"/>
  <c r="E69" i="28" a="1"/>
  <c r="E69" i="28" s="1"/>
  <c r="H34" i="28" a="1"/>
  <c r="H34" i="28" s="1"/>
  <c r="H35" i="28" a="1"/>
  <c r="H35" i="28" s="1"/>
  <c r="J69" i="28" a="1"/>
  <c r="J69" i="28" s="1"/>
  <c r="G68" i="28" a="1"/>
  <c r="G68" i="28" s="1"/>
  <c r="B67" i="28" a="1"/>
  <c r="B67" i="28" s="1"/>
  <c r="I64" i="28" a="1"/>
  <c r="I64" i="28" s="1"/>
  <c r="B80" i="28"/>
  <c r="A87" i="28" a="1"/>
  <c r="A87" i="28" s="1"/>
  <c r="E63" i="28" a="1"/>
  <c r="E63" i="28" s="1"/>
  <c r="H68" i="28" a="1"/>
  <c r="H68" i="28" s="1"/>
  <c r="D67" i="28" a="1"/>
  <c r="D67" i="28" s="1"/>
  <c r="B65" i="28" a="1"/>
  <c r="B65" i="28" s="1"/>
  <c r="B82" i="28"/>
  <c r="A89" i="28" a="1"/>
  <c r="A89" i="28" s="1"/>
  <c r="A83" i="28" a="1"/>
  <c r="A83" i="28" s="1"/>
  <c r="H37" i="28" a="1"/>
  <c r="H37" i="28" s="1"/>
  <c r="H32" i="28" a="1"/>
  <c r="H32" i="28" s="1"/>
  <c r="H38" i="28" a="1"/>
  <c r="H38" i="28" s="1"/>
  <c r="G69" i="28" a="1"/>
  <c r="G69" i="28" s="1"/>
  <c r="J68" i="28" a="1"/>
  <c r="J68" i="28" s="1"/>
  <c r="D68" i="28" a="1"/>
  <c r="D68" i="28" s="1"/>
  <c r="E67" i="28" a="1"/>
  <c r="E67" i="28" s="1"/>
  <c r="H66" i="28" a="1"/>
  <c r="H66" i="28" s="1"/>
  <c r="I65" i="28" a="1"/>
  <c r="I65" i="28" s="1"/>
  <c r="C65" i="28" a="1"/>
  <c r="C65" i="28" s="1"/>
  <c r="F64" i="28" a="1"/>
  <c r="F64" i="28" s="1"/>
  <c r="B88" i="28"/>
  <c r="A86" i="28" a="1"/>
  <c r="A86" i="28" s="1"/>
  <c r="B83" i="28"/>
  <c r="H31" i="28" a="1"/>
  <c r="H31" i="28" s="1"/>
  <c r="H63" i="28" a="1"/>
  <c r="H63" i="28" s="1"/>
  <c r="E68" i="28" a="1"/>
  <c r="E68" i="28" s="1"/>
  <c r="H67" i="28" a="1"/>
  <c r="H67" i="28" s="1"/>
  <c r="B66" i="28" a="1"/>
  <c r="B66" i="28" s="1"/>
  <c r="E65" i="28" a="1"/>
  <c r="E65" i="28" s="1"/>
  <c r="H64" i="28" a="1"/>
  <c r="H64" i="28" s="1"/>
  <c r="A80" i="28" a="1"/>
  <c r="A80" i="28" s="1"/>
  <c r="B85" i="28"/>
  <c r="H56" i="28"/>
  <c r="H58" i="28"/>
  <c r="H54" i="28"/>
  <c r="H53" i="28"/>
  <c r="H52" i="28"/>
  <c r="H30" i="28" a="1"/>
  <c r="H30" i="28" s="1"/>
  <c r="H36" i="28" a="1"/>
  <c r="H36" i="28" s="1"/>
  <c r="G63" i="28" a="1"/>
  <c r="G63" i="28" s="1"/>
  <c r="D63" i="28" a="1"/>
  <c r="D63" i="28" s="1"/>
  <c r="I69" i="28" a="1"/>
  <c r="I69" i="28" s="1"/>
  <c r="F69" i="28" a="1"/>
  <c r="F69" i="28" s="1"/>
  <c r="C69" i="28" a="1"/>
  <c r="C69" i="28" s="1"/>
  <c r="I68" i="28" a="1"/>
  <c r="I68" i="28" s="1"/>
  <c r="C68" i="28" a="1"/>
  <c r="C68" i="28" s="1"/>
  <c r="G67" i="28" a="1"/>
  <c r="G67" i="28" s="1"/>
  <c r="J66" i="28" a="1"/>
  <c r="J66" i="28" s="1"/>
  <c r="G66" i="28" a="1"/>
  <c r="G66" i="28" s="1"/>
  <c r="D66" i="28" a="1"/>
  <c r="D66" i="28" s="1"/>
  <c r="J65" i="28" a="1"/>
  <c r="J65" i="28" s="1"/>
  <c r="G65" i="28" a="1"/>
  <c r="G65" i="28" s="1"/>
  <c r="D65" i="28" a="1"/>
  <c r="D65" i="28" s="1"/>
  <c r="G64" i="28" a="1"/>
  <c r="G64" i="28" s="1"/>
  <c r="B64" i="28" a="1"/>
  <c r="B64" i="28" s="1"/>
  <c r="E50" i="28" a="1"/>
  <c r="E50" i="28" s="1"/>
  <c r="E59" i="28" s="1"/>
  <c r="D50" i="28" a="1"/>
  <c r="D50" i="28" s="1"/>
  <c r="B86" i="28"/>
  <c r="B89" i="28"/>
  <c r="B81" i="28"/>
  <c r="A81" i="28" a="1"/>
  <c r="A81" i="28" s="1"/>
  <c r="F59" i="28"/>
  <c r="H57" i="28"/>
  <c r="H33" i="28" a="1"/>
  <c r="H33" i="28" s="1"/>
  <c r="H39" i="28" a="1"/>
  <c r="H39" i="28" s="1"/>
  <c r="C50" i="28" a="1"/>
  <c r="C50" i="28" s="1"/>
  <c r="H13" i="28" a="1"/>
  <c r="H13" i="28" s="1"/>
  <c r="H2" i="28" s="1"/>
  <c r="H6" i="28" s="1"/>
  <c r="H10" i="28" s="1"/>
  <c r="I63" i="28" a="1"/>
  <c r="I63" i="28" s="1"/>
  <c r="F63" i="28" a="1"/>
  <c r="F63" i="28" s="1"/>
  <c r="C63" i="28" a="1"/>
  <c r="C63" i="28" s="1"/>
  <c r="H69" i="28" a="1"/>
  <c r="H69" i="28" s="1"/>
  <c r="B69" i="28" a="1"/>
  <c r="B69" i="28" s="1"/>
  <c r="F68" i="28" a="1"/>
  <c r="F68" i="28" s="1"/>
  <c r="I67" i="28" a="1"/>
  <c r="I67" i="28" s="1"/>
  <c r="F67" i="28" a="1"/>
  <c r="F67" i="28" s="1"/>
  <c r="C67" i="28" a="1"/>
  <c r="C67" i="28" s="1"/>
  <c r="I66" i="28" a="1"/>
  <c r="I66" i="28" s="1"/>
  <c r="F66" i="28" a="1"/>
  <c r="F66" i="28" s="1"/>
  <c r="C66" i="28" a="1"/>
  <c r="C66" i="28" s="1"/>
  <c r="F65" i="28" a="1"/>
  <c r="F65" i="28" s="1"/>
  <c r="J64" i="28" a="1"/>
  <c r="J64" i="28" s="1"/>
  <c r="D64" i="28" a="1"/>
  <c r="D64" i="28" s="1"/>
  <c r="G50" i="28" a="1"/>
  <c r="G50" i="28" s="1"/>
  <c r="G59" i="28" s="1"/>
  <c r="B84" i="28"/>
  <c r="A88" i="28" a="1"/>
  <c r="A88" i="28" s="1"/>
  <c r="A84" i="28" a="1"/>
  <c r="A84" i="28" s="1"/>
  <c r="B87" i="28"/>
  <c r="A85" i="28" a="1"/>
  <c r="A85" i="28" s="1"/>
  <c r="D59" i="28"/>
  <c r="G692" i="1"/>
  <c r="G690" i="1" s="1"/>
  <c r="K691" i="1"/>
  <c r="K700" i="1" s="1"/>
  <c r="H55" i="28"/>
  <c r="H51" i="28"/>
  <c r="K683" i="1"/>
  <c r="E438" i="1"/>
  <c r="L441" i="1"/>
  <c r="F459" i="1"/>
  <c r="L459" i="1"/>
  <c r="F445" i="1"/>
  <c r="F443" i="1"/>
  <c r="L443" i="1"/>
  <c r="F460" i="1"/>
  <c r="E459" i="1"/>
  <c r="L448" i="1"/>
  <c r="L446" i="1"/>
  <c r="L458" i="1"/>
  <c r="F439" i="1"/>
  <c r="E443" i="1"/>
  <c r="E445" i="1"/>
  <c r="E441" i="1"/>
  <c r="E439" i="1"/>
  <c r="F458" i="1"/>
  <c r="L442" i="1"/>
  <c r="E461" i="1"/>
  <c r="E460" i="1"/>
  <c r="L460" i="1"/>
  <c r="E440" i="1"/>
  <c r="F438" i="1"/>
  <c r="L444" i="1"/>
  <c r="F441" i="1"/>
  <c r="F440" i="1"/>
  <c r="E444" i="1"/>
  <c r="F444" i="1"/>
  <c r="E458" i="1"/>
  <c r="L438" i="1"/>
  <c r="L439" i="1"/>
  <c r="L445" i="1"/>
  <c r="L440" i="1"/>
  <c r="F461" i="1"/>
  <c r="L447" i="1"/>
  <c r="L461" i="1"/>
  <c r="J29" i="28" l="1"/>
  <c r="D73" i="28"/>
  <c r="E73" i="28"/>
  <c r="H73" i="28"/>
  <c r="K68" i="28"/>
  <c r="K67" i="28"/>
  <c r="C73" i="28"/>
  <c r="K64" i="28"/>
  <c r="K65" i="28"/>
  <c r="K69" i="28"/>
  <c r="K66" i="28"/>
  <c r="H41" i="28"/>
  <c r="H45" i="28" s="1"/>
  <c r="F73" i="28"/>
  <c r="H50" i="28"/>
  <c r="H59" i="28" s="1"/>
  <c r="B73" i="28"/>
  <c r="K692" i="1"/>
  <c r="I38" i="28" s="1"/>
  <c r="J73" i="28"/>
  <c r="K63" i="28"/>
  <c r="L71" i="28" s="1"/>
  <c r="H22" i="28"/>
  <c r="H26" i="28" s="1"/>
  <c r="I16" i="28" s="1"/>
  <c r="C59" i="28"/>
  <c r="I73" i="28"/>
  <c r="K29" i="28"/>
  <c r="G73" i="28"/>
  <c r="C81" i="28"/>
  <c r="C5" i="29"/>
  <c r="C4" i="29"/>
  <c r="D5" i="29"/>
  <c r="D4" i="29"/>
  <c r="D590" i="1"/>
  <c r="K690" i="1"/>
  <c r="I3" i="28"/>
  <c r="I4" i="28"/>
  <c r="I5" i="28"/>
  <c r="I2" i="28"/>
  <c r="C80" i="28" l="1"/>
  <c r="L63" i="28"/>
  <c r="L67" i="28"/>
  <c r="L68" i="28"/>
  <c r="I30" i="28"/>
  <c r="C3" i="29"/>
  <c r="I39" i="28"/>
  <c r="J30" i="28"/>
  <c r="I33" i="28"/>
  <c r="C83" i="28"/>
  <c r="I37" i="28"/>
  <c r="C89" i="28"/>
  <c r="L65" i="28"/>
  <c r="L64" i="28"/>
  <c r="I32" i="28"/>
  <c r="C85" i="28"/>
  <c r="I36" i="28"/>
  <c r="I34" i="28"/>
  <c r="I53" i="28"/>
  <c r="I55" i="28"/>
  <c r="I57" i="28"/>
  <c r="I31" i="28"/>
  <c r="K698" i="1"/>
  <c r="B9" i="29" s="1"/>
  <c r="C87" i="28"/>
  <c r="C88" i="28"/>
  <c r="I40" i="28"/>
  <c r="C82" i="28"/>
  <c r="C86" i="28"/>
  <c r="D3" i="29"/>
  <c r="I29" i="28"/>
  <c r="C84" i="28"/>
  <c r="I35" i="28"/>
  <c r="K30" i="28"/>
  <c r="I14" i="28"/>
  <c r="I18" i="28"/>
  <c r="I17" i="28"/>
  <c r="I19" i="28"/>
  <c r="I15" i="28"/>
  <c r="I51" i="28"/>
  <c r="I52" i="28"/>
  <c r="I56" i="28"/>
  <c r="I21" i="28"/>
  <c r="L72" i="28"/>
  <c r="L69" i="28"/>
  <c r="L66" i="28"/>
  <c r="I54" i="28"/>
  <c r="I50" i="28"/>
  <c r="I20" i="28"/>
  <c r="I13" i="28"/>
  <c r="K73" i="28"/>
  <c r="F74" i="28" s="1"/>
  <c r="L70" i="28"/>
  <c r="I58" i="28"/>
  <c r="B7" i="29"/>
  <c r="K694" i="1"/>
  <c r="B6" i="29"/>
  <c r="K702" i="1"/>
  <c r="K703" i="1" s="1"/>
  <c r="H74" i="28" l="1"/>
  <c r="D74" i="28"/>
  <c r="I74" i="28"/>
  <c r="G74" i="28"/>
  <c r="C74" i="28"/>
  <c r="K74" i="28"/>
  <c r="J74" i="28"/>
  <c r="B74" i="28"/>
  <c r="E74" i="28"/>
  <c r="B3" i="29"/>
  <c r="B5" i="29"/>
  <c r="B4" i="29"/>
  <c r="N691" i="1" l="1" a="1"/>
  <c r="N691" i="1" s="1"/>
  <c r="N684" i="1" a="1"/>
  <c r="N684" i="1" s="1"/>
  <c r="N692" i="1" a="1"/>
  <c r="N692" i="1" s="1"/>
  <c r="N689" i="1" a="1"/>
  <c r="N689" i="1" s="1"/>
  <c r="N687" i="1" a="1"/>
  <c r="N687" i="1" s="1"/>
  <c r="N688" i="1" a="1"/>
  <c r="N688" i="1" s="1"/>
  <c r="N685" i="1" a="1"/>
  <c r="N685" i="1" s="1"/>
  <c r="N690" i="1" a="1"/>
  <c r="N690" i="1" s="1"/>
  <c r="N686" i="1" a="1"/>
  <c r="N686" i="1" s="1"/>
  <c r="N683" i="1" a="1"/>
  <c r="N683" i="1" s="1"/>
  <c r="N682" i="1"/>
</calcChain>
</file>

<file path=xl/comments1.xml><?xml version="1.0" encoding="utf-8"?>
<comments xmlns="http://schemas.openxmlformats.org/spreadsheetml/2006/main">
  <authors>
    <author>Mojzis JaroslavX</author>
  </authors>
  <commentList>
    <comment ref="C685" authorId="0" shape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<sst xmlns="http://schemas.openxmlformats.org/spreadsheetml/2006/main" count="2721" uniqueCount="1531">
  <si>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</si>
  <si>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</si>
  <si>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</si>
  <si>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</si>
  <si>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</si>
  <si>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</si>
  <si>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</si>
  <si>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</si>
  <si>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</si>
  <si>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</si>
  <si>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</si>
  <si>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</si>
  <si>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</si>
  <si>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</si>
  <si>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</si>
  <si>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</si>
  <si>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</si>
  <si>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</si>
  <si>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</si>
  <si>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</si>
  <si>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</si>
  <si>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</si>
  <si>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</si>
  <si>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</si>
  <si>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</si>
  <si>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</si>
  <si>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</si>
  <si>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</si>
  <si>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</si>
  <si>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</si>
  <si>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</si>
  <si>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</si>
  <si>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</si>
  <si>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</si>
  <si>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</si>
  <si>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</si>
  <si>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</si>
  <si>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</si>
  <si>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</si>
  <si>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</si>
  <si>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</si>
  <si>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</si>
  <si>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</si>
  <si>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</si>
  <si>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</si>
  <si>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</si>
  <si>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</si>
  <si>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</si>
  <si>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</si>
  <si>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</si>
  <si>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</si>
  <si>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</si>
  <si>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</si>
  <si>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</si>
  <si>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</si>
  <si>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</si>
  <si>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</si>
  <si>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</si>
  <si>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</si>
  <si>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</si>
  <si>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</si>
  <si>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</si>
  <si>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</si>
  <si>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</si>
  <si>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</si>
  <si>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</si>
  <si>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</si>
  <si>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</si>
  <si>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</si>
  <si>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</si>
  <si>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</si>
  <si>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</si>
  <si>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</si>
  <si>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</si>
  <si>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</si>
  <si>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</si>
  <si>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</si>
  <si>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</si>
  <si>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</si>
  <si>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</si>
  <si>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</si>
  <si>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</si>
  <si>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</si>
  <si>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</si>
  <si>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</si>
  <si>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</si>
  <si>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</si>
  <si>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</si>
  <si>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</si>
  <si>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</si>
  <si>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</si>
  <si>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</si>
  <si>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</si>
  <si>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</si>
  <si>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</si>
  <si>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</si>
  <si>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</si>
  <si>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</si>
  <si>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</si>
  <si>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</si>
  <si>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</si>
  <si>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</si>
  <si>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</si>
  <si>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</si>
  <si>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</si>
  <si>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</si>
  <si>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</si>
  <si>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</si>
  <si>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</si>
  <si>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</si>
  <si>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</si>
  <si>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</si>
  <si>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</si>
  <si>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</si>
  <si>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</si>
  <si>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</si>
  <si>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</si>
  <si>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</si>
  <si>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</si>
  <si>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</si>
  <si>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</si>
  <si>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</si>
  <si>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</si>
  <si>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</si>
  <si>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</si>
  <si>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</si>
  <si>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</si>
  <si>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Michalovce</t>
  </si>
  <si>
    <t>Košický</t>
  </si>
  <si>
    <t>Košice I</t>
  </si>
  <si>
    <t>Košice-okolie</t>
  </si>
  <si>
    <t>Košice III</t>
  </si>
  <si>
    <t>Košice IV</t>
  </si>
  <si>
    <t>Gelnica</t>
  </si>
  <si>
    <t>Rožňava</t>
  </si>
  <si>
    <t>Trebišov</t>
  </si>
  <si>
    <t>Spišská Nová Ves</t>
  </si>
  <si>
    <t>Sobrance</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</si>
  <si>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</si>
  <si>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</si>
  <si>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</si>
  <si>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</si>
  <si>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</si>
  <si>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</si>
  <si>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</si>
  <si>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</si>
  <si>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</si>
  <si>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</si>
  <si>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</si>
  <si>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</si>
  <si>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</si>
  <si>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</si>
  <si>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</si>
  <si>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</si>
  <si>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</si>
  <si>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</si>
  <si>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</si>
  <si>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</si>
  <si>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</si>
  <si>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</si>
  <si>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</si>
  <si>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</si>
  <si>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</si>
  <si>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</si>
  <si>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</si>
  <si>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</si>
  <si>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</si>
  <si>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</si>
  <si>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</si>
  <si>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</si>
  <si>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</si>
  <si>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</si>
  <si>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</si>
  <si>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</si>
  <si>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</si>
  <si>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</si>
  <si>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</si>
  <si>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Medzilaborce</t>
  </si>
  <si>
    <t>Prešovský</t>
  </si>
  <si>
    <t>Levoča</t>
  </si>
  <si>
    <t>Kežmarok</t>
  </si>
  <si>
    <t>Bardejov</t>
  </si>
  <si>
    <t>Humenné</t>
  </si>
  <si>
    <t>Sabinov</t>
  </si>
  <si>
    <t>Poprad</t>
  </si>
  <si>
    <t>Prešov</t>
  </si>
  <si>
    <t>Svidník</t>
  </si>
  <si>
    <t>Snina</t>
  </si>
  <si>
    <t>Stará Ľubovňa</t>
  </si>
  <si>
    <t>Stropkov</t>
  </si>
  <si>
    <t>Vranov nad Topľou</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</si>
  <si>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</si>
  <si>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</si>
  <si>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</si>
  <si>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</si>
  <si>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</si>
  <si>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</si>
  <si>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</si>
  <si>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</si>
  <si>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</si>
  <si>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</si>
  <si>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</si>
  <si>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</si>
  <si>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</si>
  <si>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</si>
  <si>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</si>
  <si>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</si>
  <si>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</si>
  <si>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</si>
  <si>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</si>
  <si>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</si>
  <si>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</si>
  <si>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</si>
  <si>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</si>
  <si>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</si>
  <si>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</si>
  <si>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</si>
  <si>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</si>
  <si>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</si>
  <si>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</si>
  <si>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</si>
  <si>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</si>
  <si>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</si>
  <si>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</si>
  <si>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</si>
  <si>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</si>
  <si>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</si>
  <si>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</si>
  <si>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</si>
  <si>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</si>
  <si>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</si>
  <si>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</si>
  <si>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</si>
  <si>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</si>
  <si>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</si>
  <si>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</si>
  <si>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</si>
  <si>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</si>
  <si>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</si>
  <si>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</si>
  <si>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</si>
  <si>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</si>
  <si>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</si>
  <si>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</si>
  <si>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</si>
  <si>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</si>
  <si>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</si>
  <si>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</si>
  <si>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</si>
  <si>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</si>
  <si>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</si>
  <si>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</si>
  <si>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</si>
  <si>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</si>
  <si>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</si>
  <si>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</si>
  <si>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</si>
  <si>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</si>
  <si>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</si>
  <si>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</si>
  <si>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</si>
  <si>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</si>
  <si>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</si>
  <si>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</si>
  <si>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</si>
  <si>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</si>
  <si>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</si>
  <si>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</si>
  <si>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</si>
  <si>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</si>
  <si>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</si>
  <si>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</si>
  <si>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</si>
  <si>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</si>
  <si>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</si>
  <si>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</si>
  <si>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</si>
  <si>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</si>
  <si>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</si>
  <si>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</si>
  <si>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</si>
  <si>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</si>
  <si>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</si>
  <si>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</si>
  <si>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</si>
  <si>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</si>
  <si>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</si>
  <si>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</si>
  <si>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</si>
  <si>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</si>
  <si>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</si>
  <si>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</si>
  <si>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</si>
  <si>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</si>
  <si>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</si>
  <si>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</si>
  <si>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</si>
  <si>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</si>
  <si>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</si>
  <si>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</si>
  <si>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</si>
  <si>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</si>
  <si>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</si>
  <si>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</si>
  <si>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</si>
  <si>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</si>
  <si>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</si>
  <si>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</si>
  <si>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</si>
  <si>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</si>
  <si>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</si>
  <si>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</si>
  <si>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</si>
  <si>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</si>
  <si>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</si>
  <si>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</si>
  <si>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</si>
  <si>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</si>
  <si>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</si>
  <si>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</si>
  <si>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</si>
  <si>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</si>
  <si>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</si>
  <si>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</si>
  <si>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</si>
  <si>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</si>
  <si>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</si>
  <si>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</si>
  <si>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</si>
  <si>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</si>
  <si>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</si>
  <si>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</si>
  <si>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</si>
  <si>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</si>
  <si>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</si>
  <si>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</si>
  <si>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</si>
  <si>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</si>
  <si>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</si>
  <si>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</si>
  <si>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</si>
  <si>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</si>
  <si>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</si>
  <si>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</si>
  <si>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</si>
  <si>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</si>
  <si>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</si>
  <si>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</si>
  <si>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</si>
  <si>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</si>
  <si>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</si>
  <si>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</si>
  <si>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</si>
  <si>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</si>
  <si>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</si>
  <si>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</si>
  <si>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</si>
  <si>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</si>
  <si>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</si>
  <si>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</si>
  <si>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</si>
  <si>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</si>
  <si>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</si>
  <si>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</si>
  <si>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</si>
  <si>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</si>
  <si>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</si>
  <si>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</si>
  <si>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</si>
  <si>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</si>
  <si>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</si>
  <si>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</si>
  <si>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</si>
  <si>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</si>
  <si>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</si>
  <si>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</si>
  <si>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</si>
  <si>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</si>
  <si>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</si>
  <si>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</si>
  <si>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</si>
  <si>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</si>
  <si>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</si>
  <si>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</si>
  <si>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</si>
  <si>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</si>
  <si>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</si>
  <si>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</si>
  <si>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</si>
  <si>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</si>
  <si>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</si>
  <si>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</si>
  <si>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</si>
  <si>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</si>
  <si>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</si>
  <si>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</si>
  <si>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</si>
  <si>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</si>
  <si>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</si>
  <si>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</si>
  <si>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</si>
  <si>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</si>
  <si>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</si>
  <si>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</si>
  <si>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</si>
  <si>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</si>
  <si>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</si>
  <si>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</si>
  <si>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</si>
  <si>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</si>
  <si>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</si>
  <si>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</si>
  <si>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</si>
  <si>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</si>
  <si>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</si>
  <si>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</si>
  <si>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</si>
  <si>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</si>
  <si>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</si>
  <si>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</si>
  <si>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</si>
  <si>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</si>
  <si>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</si>
  <si>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</si>
  <si>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</si>
  <si>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</si>
  <si>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</si>
  <si>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</si>
  <si>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</si>
  <si>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</si>
  <si>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</si>
  <si>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</si>
  <si>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</si>
  <si>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</si>
  <si>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</si>
  <si>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</si>
  <si>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</si>
  <si>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</si>
  <si>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</si>
  <si>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</si>
  <si>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</si>
  <si>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</si>
  <si>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</si>
  <si>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</si>
  <si>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</si>
  <si>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</si>
  <si>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</si>
  <si>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</si>
  <si>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</si>
  <si>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</si>
  <si>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</si>
  <si>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</si>
  <si>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</si>
  <si>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</si>
  <si>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</si>
  <si>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</si>
  <si>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</si>
  <si>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</si>
  <si>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</si>
  <si>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</si>
  <si>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</si>
  <si>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</si>
  <si>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</si>
  <si>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</si>
  <si>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</si>
  <si>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</si>
  <si>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</si>
  <si>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</si>
  <si>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</si>
  <si>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</si>
  <si>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</si>
  <si>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</si>
  <si>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</si>
  <si>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</si>
  <si>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</si>
  <si>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</si>
  <si>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</si>
  <si>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</si>
  <si>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</si>
  <si>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</si>
  <si>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</si>
  <si>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</si>
  <si>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</si>
  <si>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</si>
  <si>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</si>
  <si>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</si>
  <si>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</si>
  <si>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</si>
  <si>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</si>
  <si>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</si>
  <si>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</si>
  <si>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</si>
  <si>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</si>
  <si>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</si>
  <si>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</si>
  <si>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</si>
  <si>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</si>
  <si>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</si>
  <si>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</si>
  <si>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</si>
  <si>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</si>
  <si>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</si>
  <si>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</si>
  <si>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</si>
  <si>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</si>
  <si>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</si>
  <si>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</si>
  <si>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</si>
  <si>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</si>
  <si>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</si>
  <si>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</si>
  <si>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</si>
  <si>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</si>
  <si>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</si>
  <si>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</si>
  <si>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</si>
  <si>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</si>
  <si>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</si>
  <si>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</si>
  <si>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</si>
  <si>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</si>
  <si>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</si>
  <si>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</si>
  <si>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</si>
  <si>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</si>
  <si>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</si>
  <si>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</si>
  <si>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</si>
  <si>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</si>
  <si>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</si>
  <si>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</si>
  <si>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</si>
  <si>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</si>
  <si>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</si>
  <si>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</si>
  <si>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</si>
  <si>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</si>
  <si>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</si>
  <si>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</si>
  <si>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</si>
  <si>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</si>
  <si>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</si>
  <si>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</si>
  <si>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</si>
  <si>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</si>
  <si>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</si>
  <si>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</si>
  <si>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</si>
  <si>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</si>
  <si>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</si>
  <si>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</si>
  <si>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</si>
  <si>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</si>
  <si>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</si>
  <si>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</si>
  <si>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</si>
  <si>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</si>
  <si>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</si>
  <si>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</si>
  <si>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</si>
  <si>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</si>
  <si>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</si>
  <si>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</si>
  <si>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</si>
  <si>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</si>
  <si>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</si>
  <si>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</si>
  <si>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</si>
  <si>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</si>
  <si>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</si>
  <si>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</si>
  <si>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</si>
  <si>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</si>
  <si>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</si>
  <si>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</si>
  <si>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</si>
  <si>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</si>
  <si>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</si>
  <si>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</si>
  <si>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</si>
  <si>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</si>
  <si>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</si>
  <si>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</si>
  <si>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</si>
  <si>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</si>
  <si>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</si>
  <si>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</si>
  <si>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</si>
  <si>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</si>
  <si>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</si>
  <si>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</si>
  <si>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</si>
  <si>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</si>
  <si>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</si>
  <si>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</si>
  <si>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</si>
  <si>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</si>
  <si>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</si>
  <si>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</si>
  <si>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</si>
  <si>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</si>
  <si>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</si>
  <si>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</si>
  <si>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</si>
  <si>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</si>
  <si>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</si>
  <si>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</si>
  <si>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</si>
  <si>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</si>
  <si>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</si>
  <si>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</si>
  <si>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</si>
  <si>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</si>
  <si>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</si>
  <si>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</si>
  <si>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</si>
  <si>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</si>
  <si>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</si>
  <si>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</si>
  <si>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</si>
  <si>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</si>
  <si>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</si>
  <si>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</si>
  <si>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</si>
  <si>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</si>
  <si>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</si>
  <si>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</si>
  <si>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</si>
  <si>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</si>
  <si>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</si>
  <si>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</si>
  <si>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</si>
  <si>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</si>
  <si>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</si>
  <si>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</si>
  <si>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</si>
  <si>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</si>
  <si>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</si>
  <si>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</si>
  <si>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</si>
  <si>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</si>
  <si>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</si>
  <si>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</si>
  <si>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</si>
  <si>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</si>
  <si>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</si>
  <si>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</si>
  <si>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</si>
  <si>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</si>
  <si>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</si>
  <si>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</si>
  <si>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</si>
  <si>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</si>
  <si>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</si>
  <si>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</si>
  <si>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</si>
  <si>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</si>
  <si>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</si>
  <si>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</si>
  <si>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</si>
  <si>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</si>
  <si>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</si>
  <si>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</si>
  <si>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</si>
  <si>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</si>
  <si>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</si>
  <si>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</si>
  <si>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</si>
  <si>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</si>
  <si>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</si>
  <si>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</si>
  <si>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</si>
  <si>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</si>
  <si>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</si>
  <si>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</si>
  <si>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</si>
  <si>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</si>
  <si>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</si>
  <si>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</si>
  <si>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</si>
  <si>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</si>
  <si>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</si>
  <si>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</si>
  <si>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</si>
  <si>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</si>
  <si>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</si>
  <si>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</si>
  <si>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</si>
  <si>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</si>
  <si>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</si>
  <si>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</si>
  <si>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</si>
  <si>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</si>
  <si>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</si>
  <si>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</si>
  <si>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</si>
  <si>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</si>
  <si>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</si>
  <si>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</si>
  <si>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</si>
  <si>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</si>
  <si>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</si>
  <si>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</si>
  <si>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</si>
  <si>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</si>
  <si>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</si>
  <si>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</si>
  <si>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</si>
  <si>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</si>
  <si>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</si>
  <si>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</si>
  <si>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</si>
  <si>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</si>
  <si>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</si>
  <si>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</si>
  <si>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</si>
  <si>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</si>
  <si>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</si>
  <si>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</si>
  <si>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</si>
  <si>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</si>
  <si>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</si>
  <si>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</si>
  <si>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</si>
  <si>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</si>
  <si>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</si>
  <si>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</si>
  <si>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</si>
  <si>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</si>
  <si>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</si>
  <si>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</si>
  <si>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</si>
  <si>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</si>
  <si>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</si>
  <si>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</si>
  <si>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</si>
  <si>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</si>
  <si>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</si>
  <si>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</si>
  <si>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</si>
  <si>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</si>
  <si>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</si>
  <si>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</si>
  <si>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</si>
  <si>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</si>
  <si>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</si>
  <si>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</si>
  <si>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</si>
  <si>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</si>
  <si>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</si>
  <si>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</si>
  <si>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</si>
  <si>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</si>
  <si>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</si>
  <si>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</si>
  <si>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</si>
  <si>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</si>
  <si>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</si>
  <si>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</si>
  <si>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</si>
  <si>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</si>
  <si>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</si>
  <si>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</si>
  <si>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</si>
  <si>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</si>
  <si>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</si>
  <si>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</si>
  <si>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</si>
  <si>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</si>
  <si>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</si>
  <si>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</si>
  <si>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</si>
  <si>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</si>
  <si>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</si>
  <si>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</si>
  <si>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</si>
  <si>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</si>
  <si>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</si>
  <si>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</si>
  <si>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</si>
  <si>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</si>
  <si>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</si>
  <si>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</si>
  <si>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</si>
  <si>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</si>
  <si>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</si>
  <si>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</si>
  <si>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</si>
  <si>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</si>
  <si>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</si>
  <si>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</si>
  <si>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</si>
  <si>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</si>
  <si>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</si>
  <si>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</si>
  <si>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</si>
  <si>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</si>
  <si>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</si>
  <si>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</si>
  <si>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</si>
  <si>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</si>
  <si>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</si>
  <si>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</si>
  <si>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</si>
  <si>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</si>
  <si>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</si>
  <si>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</si>
  <si>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</si>
  <si>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</si>
  <si>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</si>
  <si>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</si>
  <si>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</si>
  <si>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</si>
  <si>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</si>
  <si>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</si>
  <si>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</si>
  <si>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</si>
  <si>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</si>
  <si>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</si>
  <si>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</si>
  <si>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</si>
  <si>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</si>
  <si>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</si>
  <si>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</si>
  <si>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</si>
  <si>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</si>
  <si>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</si>
  <si>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</si>
  <si>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</si>
  <si>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</si>
  <si>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</si>
  <si>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</si>
  <si>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</si>
  <si>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</si>
  <si>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</si>
  <si>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</si>
  <si>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</si>
  <si>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</si>
  <si>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</si>
  <si>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</si>
  <si>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</si>
  <si>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</si>
  <si>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</si>
  <si>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</si>
  <si>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</si>
  <si>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</si>
  <si>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</si>
  <si>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</si>
  <si>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</si>
  <si>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</si>
  <si>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</si>
  <si>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</si>
  <si>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</si>
  <si>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</si>
  <si>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</si>
  <si>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</si>
  <si>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</si>
  <si>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</si>
  <si>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</si>
  <si>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</si>
  <si>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</si>
  <si>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</si>
  <si>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</si>
  <si>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</si>
  <si>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</si>
  <si>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</si>
  <si>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</si>
  <si>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</si>
  <si>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</si>
  <si>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</si>
  <si>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</si>
  <si>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</si>
  <si>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</si>
  <si>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</si>
  <si>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</si>
  <si>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</si>
  <si>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</si>
  <si>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</si>
  <si>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</si>
  <si>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</si>
  <si>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</si>
  <si>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</si>
  <si>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</si>
  <si>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</si>
  <si>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</si>
  <si>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</si>
  <si>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</si>
  <si>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</si>
  <si>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</si>
  <si>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</si>
  <si>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</si>
  <si>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</si>
  <si>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printed materials summarizing achieved results of the project</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</si>
  <si>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</si>
  <si>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</si>
  <si>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</si>
  <si>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</si>
  <si>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</si>
  <si>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</si>
  <si>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</si>
  <si>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</si>
  <si>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</si>
  <si>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</si>
  <si>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</si>
  <si>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</si>
  <si>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</si>
  <si>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</si>
  <si>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</si>
  <si>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</si>
  <si>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</si>
  <si>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</si>
  <si>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</si>
  <si>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</si>
  <si>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</si>
  <si>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</si>
  <si>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</si>
  <si>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</si>
  <si>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</si>
  <si>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</si>
  <si>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</si>
  <si>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</si>
  <si>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</si>
  <si>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</si>
  <si>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</si>
  <si>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</si>
  <si>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</si>
  <si>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</si>
  <si>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</si>
  <si>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</si>
  <si>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</si>
  <si>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</si>
  <si>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</si>
  <si>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</si>
  <si>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</si>
  <si>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</si>
  <si>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</si>
  <si>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</si>
  <si>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</si>
  <si>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</si>
  <si>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</si>
  <si>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</si>
  <si>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</si>
  <si>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</si>
  <si>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</si>
  <si>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</si>
  <si>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</si>
  <si>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</si>
  <si>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</si>
  <si>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</si>
  <si>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</si>
  <si>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</si>
  <si>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</si>
  <si>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</si>
  <si>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</si>
  <si>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</si>
  <si>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</si>
  <si>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</si>
  <si>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</si>
  <si>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</si>
  <si>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</si>
  <si>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</si>
  <si>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</si>
  <si>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</si>
  <si>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</si>
  <si>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</si>
  <si>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</si>
  <si>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</si>
  <si>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</si>
  <si>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</si>
  <si>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</si>
  <si>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</si>
  <si>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</si>
  <si>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</si>
  <si>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</si>
  <si>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</si>
  <si>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</si>
  <si>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</si>
  <si>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</si>
  <si>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</si>
  <si>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</si>
  <si>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</si>
  <si>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</si>
  <si>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</si>
  <si>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</si>
  <si>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</si>
  <si>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</si>
  <si>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</si>
  <si>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</si>
  <si>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</si>
  <si>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</si>
  <si>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</si>
  <si>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</si>
  <si>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</si>
  <si>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</si>
  <si>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</si>
  <si>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</si>
  <si>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</si>
  <si>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</si>
  <si>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</si>
  <si>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</si>
  <si>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</si>
  <si>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</si>
  <si>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</si>
  <si>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</si>
  <si>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</si>
  <si>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</si>
  <si>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</si>
  <si>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</si>
  <si>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</si>
  <si>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</si>
  <si>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</si>
  <si>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</si>
  <si>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</si>
  <si>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</si>
  <si>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</si>
  <si>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</si>
  <si>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</si>
  <si>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</si>
  <si>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</si>
  <si>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</si>
  <si>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</si>
  <si>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</si>
  <si>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</si>
  <si>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</si>
  <si>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</si>
  <si>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</si>
  <si>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</si>
  <si>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</si>
  <si>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</si>
  <si>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</si>
  <si>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</si>
  <si>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</si>
  <si>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</si>
  <si>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</si>
  <si>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</si>
  <si>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</si>
  <si>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</si>
  <si>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</si>
  <si>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</si>
  <si>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</si>
  <si>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</si>
  <si>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</si>
  <si>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</si>
  <si>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</si>
  <si>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</si>
  <si>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</si>
  <si>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</si>
  <si>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</si>
  <si>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</si>
  <si>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</si>
  <si>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</si>
  <si>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</si>
  <si>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</si>
  <si>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</si>
  <si>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</si>
  <si>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</si>
  <si>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</si>
  <si>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</si>
  <si>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</si>
  <si>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</si>
  <si>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</si>
  <si>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</si>
  <si>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</si>
  <si>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</si>
  <si>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</si>
  <si>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</si>
  <si>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</si>
  <si>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</si>
  <si>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</si>
  <si>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</si>
  <si>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</si>
  <si>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</si>
  <si>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</si>
  <si>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</si>
  <si>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</si>
  <si>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</si>
  <si>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</si>
  <si>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</si>
  <si>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</si>
  <si>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</si>
  <si>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</si>
  <si>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</si>
  <si>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</si>
  <si>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</si>
  <si>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</si>
  <si>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</si>
  <si>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</si>
  <si>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</si>
  <si>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</si>
  <si>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</si>
  <si>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</si>
  <si>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</si>
  <si>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</si>
  <si>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</si>
  <si>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</si>
  <si>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</si>
  <si>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</si>
  <si>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</si>
  <si>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</si>
  <si>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</si>
  <si>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</si>
  <si>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</si>
  <si>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</si>
  <si>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</si>
  <si>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</si>
  <si>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</si>
  <si>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</si>
  <si>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</si>
  <si>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</si>
  <si>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</si>
  <si>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</si>
  <si>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</si>
  <si>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</si>
  <si>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</si>
  <si>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</si>
  <si>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</si>
  <si>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</si>
  <si>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</si>
  <si>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</si>
  <si>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</si>
  <si>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</si>
  <si>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</si>
  <si>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</si>
  <si>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</si>
  <si>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</si>
  <si>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</si>
  <si>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</si>
  <si>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</si>
  <si>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</si>
  <si>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</si>
  <si>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</si>
  <si>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</si>
  <si>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</si>
  <si>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</si>
  <si>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</si>
  <si>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</si>
  <si>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</si>
  <si>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</si>
  <si>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</si>
  <si>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</si>
  <si>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</si>
  <si>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</si>
  <si>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</si>
  <si>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</si>
  <si>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</si>
  <si>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</si>
  <si>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</si>
  <si>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</si>
  <si>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</si>
  <si>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</si>
  <si>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</si>
  <si>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</si>
  <si>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</si>
  <si>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</si>
  <si>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</si>
  <si>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</si>
  <si>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</si>
  <si>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</si>
  <si>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</si>
  <si>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</si>
  <si>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</si>
  <si>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</si>
  <si>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</si>
  <si>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</si>
  <si>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</si>
  <si>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</si>
  <si>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</si>
  <si>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</si>
  <si>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</si>
  <si>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</si>
  <si>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</si>
  <si>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</si>
  <si>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</si>
  <si>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</si>
  <si>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</si>
  <si>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</si>
  <si>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</si>
  <si>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</si>
  <si>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</si>
  <si>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</si>
  <si>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</si>
  <si>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</si>
  <si>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</si>
  <si>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</si>
  <si>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</si>
  <si>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</si>
  <si>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</si>
  <si>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</si>
  <si>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</si>
  <si>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</si>
  <si>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</si>
  <si>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</si>
  <si>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</si>
  <si>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</si>
  <si>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</si>
  <si>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</si>
  <si>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</si>
  <si>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</si>
  <si>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</si>
  <si>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</si>
  <si>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</si>
  <si>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</si>
  <si>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</si>
  <si>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</si>
  <si>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</si>
  <si>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</si>
  <si>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</si>
  <si>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</si>
  <si>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</si>
  <si>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</si>
  <si>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</si>
  <si>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</si>
  <si>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</si>
  <si>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</si>
  <si>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</si>
  <si>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</si>
  <si>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</si>
  <si>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</si>
  <si>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</si>
  <si>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</si>
  <si>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</si>
  <si>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</si>
  <si>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</si>
  <si>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</si>
  <si>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</si>
  <si>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</si>
  <si>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</si>
  <si>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</si>
  <si>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</si>
  <si>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</si>
  <si>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</si>
  <si>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</si>
  <si>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</si>
  <si>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</si>
  <si>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</si>
  <si>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</si>
  <si>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</si>
  <si>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</si>
  <si>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</si>
  <si>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</si>
  <si>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</si>
  <si>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</si>
  <si>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</si>
  <si>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</si>
  <si>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</si>
  <si>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</si>
  <si>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</si>
  <si>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</si>
  <si>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</si>
  <si>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</si>
  <si>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</si>
  <si>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</si>
  <si>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</si>
  <si>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</si>
  <si>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</si>
  <si>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</si>
  <si>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</si>
  <si>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</si>
  <si>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</si>
  <si>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</si>
  <si>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</si>
  <si>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</si>
  <si>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</si>
  <si>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</si>
  <si>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</si>
  <si>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</si>
  <si>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</si>
  <si>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</si>
  <si>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</si>
  <si>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</si>
  <si>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</si>
  <si>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</si>
  <si>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</si>
  <si>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</si>
  <si>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</si>
  <si>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</si>
  <si>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</si>
  <si>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</si>
  <si>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</si>
  <si>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</si>
  <si>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</si>
  <si>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</si>
  <si>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</si>
  <si>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</si>
  <si>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</si>
  <si>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</si>
  <si>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</si>
  <si>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</si>
  <si>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</si>
  <si>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</si>
  <si>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</si>
  <si>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</si>
  <si>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</si>
  <si>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</si>
  <si>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</si>
  <si>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</si>
  <si>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</si>
  <si>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</si>
  <si>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</si>
  <si>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</si>
  <si>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</si>
  <si>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</si>
  <si>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</si>
  <si>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</si>
  <si>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</si>
  <si>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</si>
  <si>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</si>
  <si>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</si>
  <si>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</si>
  <si>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Started</t>
  </si>
  <si>
    <t>Completed</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</si>
  <si>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</si>
  <si>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</si>
  <si>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</si>
  <si>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</si>
  <si>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</si>
  <si>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</si>
  <si>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</si>
  <si>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</si>
  <si>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</si>
  <si>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</si>
  <si>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</si>
  <si>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</si>
  <si>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</si>
  <si>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</si>
  <si>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</si>
  <si>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</si>
  <si>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</si>
  <si>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</si>
  <si>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</si>
  <si>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</si>
  <si>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</si>
  <si>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</si>
  <si>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</si>
  <si>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</si>
  <si>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</si>
  <si>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</si>
  <si>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</si>
  <si>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</si>
  <si>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</si>
  <si>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</si>
  <si>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</si>
  <si>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</si>
  <si>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</si>
  <si>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</si>
  <si>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</si>
  <si>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</si>
  <si>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</si>
  <si>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</si>
  <si>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</si>
  <si>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</si>
  <si>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</si>
  <si>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</si>
  <si>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</si>
  <si>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</si>
  <si>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</si>
  <si>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</si>
  <si>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</si>
  <si>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</si>
  <si>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</si>
  <si>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</si>
  <si>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</si>
  <si>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</si>
  <si>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</si>
  <si>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</si>
  <si>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</si>
  <si>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</si>
  <si>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</si>
  <si>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</si>
  <si>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</si>
  <si>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</si>
  <si>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Description of Activity 2</t>
  </si>
  <si>
    <t>DIRECT EXPENDITURE</t>
  </si>
  <si>
    <t>% of DIRECT EXPENDITURE</t>
  </si>
  <si>
    <t>% TOTAL COSTS</t>
  </si>
  <si>
    <t>Direct expenditure (EUR)</t>
  </si>
  <si>
    <t>PROJECT BUDGET - DIRECT EXPENDITURE</t>
  </si>
  <si>
    <t>Direct Expenditure:</t>
  </si>
  <si>
    <t>13. Statutory declaration</t>
  </si>
  <si>
    <t>LDI_OTC1</t>
  </si>
  <si>
    <t>indicators_LDI_OTC1</t>
  </si>
  <si>
    <t>Number of municipalities with increased capacity to offer multiple extracurricular activities to children and youth</t>
  </si>
  <si>
    <t>Project Contracts, Project Promoters’ records</t>
  </si>
  <si>
    <t>Number of people at risk of poverty using services provided by the supported youth centres (disaggregated by gender, age, Roma)</t>
  </si>
  <si>
    <t>Number of multifunctional youth centres established or supported</t>
  </si>
  <si>
    <t>LDI_OTC1_OTP1_IND1</t>
  </si>
  <si>
    <t>Number of legal entities involved in the projects</t>
  </si>
  <si>
    <t>LDI_OTC1_OTP1_IND2</t>
  </si>
  <si>
    <t>Number of projects implemented in multi-level and/or multi-stakeholder local partnerships[1]</t>
  </si>
  <si>
    <t>LDI_OTC1_OTP1_IND3</t>
  </si>
  <si>
    <t>Number of field social workers and/or Roma mediators cooperating with the Youth Centres</t>
  </si>
  <si>
    <t>LDI_OTC1_OTP1_IND4</t>
  </si>
  <si>
    <t>Average increase of time (in hours per week) the centre is open for children and youth</t>
  </si>
  <si>
    <t>Average</t>
  </si>
  <si>
    <t>LDI_OTC1_OTP1_IND5</t>
  </si>
  <si>
    <t>LDI_OTC2</t>
  </si>
  <si>
    <t>Share of majority population in intervention area accepting Roma</t>
  </si>
  <si>
    <t>indicators_LDI_OTC2</t>
  </si>
  <si>
    <t>Number of Roma people using supported services (disaggregated by gender, age)</t>
  </si>
  <si>
    <t>Share of people living in the marginalised Roma communities in project intervention area receiving services</t>
  </si>
  <si>
    <t>Number of projects applying an integrated approach (i.e. addressing more than one thematic area of intervention among health, education, employment, housing and non-discrimination components)</t>
  </si>
  <si>
    <t>LDI_OTC2_OTP1_IND1</t>
  </si>
  <si>
    <t>Number of joint activities between Roma and non-Roma</t>
  </si>
  <si>
    <t>LDI_OTC2_OTP1_IND2</t>
  </si>
  <si>
    <t xml:space="preserve">Number of marginalised Roma communities with investments into public infrastructure reducing disparities between Roma and non-Roma </t>
  </si>
  <si>
    <t>LDI_OTC2_OTP1_IND3</t>
  </si>
  <si>
    <t>Number of Roma people working in the centres</t>
  </si>
  <si>
    <t>LDI_OTC2_OTP1_IND4</t>
  </si>
  <si>
    <t>Number of marginalized Roma communities provided with services</t>
  </si>
  <si>
    <t>LDI_OTC2_OTP1_IND5</t>
  </si>
  <si>
    <t>Number of entities / actors active in the social inclusion of marginalised Roma communities supported</t>
  </si>
  <si>
    <t>Project Contracts, Partnership Agreements, Project Promoters’ records</t>
  </si>
  <si>
    <t>LDI_OTC2_OTP2_IND1</t>
  </si>
  <si>
    <t>Number of good practices replicated in marginalised Roma communities</t>
  </si>
  <si>
    <t>LDI_OTC2_OTP2_IND2</t>
  </si>
  <si>
    <t>Number of multi-stakeholder partnerships established or supported[2]</t>
  </si>
  <si>
    <t>LDI_OTC2_OTP2_IND3</t>
  </si>
  <si>
    <t>LDI_OTC3</t>
  </si>
  <si>
    <t>Number of educational institutions that have implementing curricula on Romani language or culture</t>
  </si>
  <si>
    <t>Project Promoter’ s records</t>
  </si>
  <si>
    <t xml:space="preserve">Semi-Annually </t>
  </si>
  <si>
    <t>indicators_LDI_OTC3</t>
  </si>
  <si>
    <t>LDI_OTC3_ IND1</t>
  </si>
  <si>
    <t xml:space="preserve">Number of schools applying inclusive education models </t>
  </si>
  <si>
    <t>LDI_OTC3_OTP1_IND1</t>
  </si>
  <si>
    <t>Number of textbooks and methodological materials integrating Roma history and language for teaching staff and pupils of primary and secondary schools distributed</t>
  </si>
  <si>
    <t>Copies of textbooks and methodological materials</t>
  </si>
  <si>
    <t>LDI_OTC3_OTP1_IND2</t>
  </si>
  <si>
    <t>Number of kindergarten, primary and secondary teachers working with Roma children trained in innovative education practices (disaggregated by gender, Roma)</t>
  </si>
  <si>
    <t>LDI_OTC3_OTP1_IND3</t>
  </si>
  <si>
    <t>Number of school administration/management staff working with Roma children trained in innovative education practices (disaggregated by gender, Roma)</t>
  </si>
  <si>
    <t>LDI_OTC3_OTP1_IND4</t>
  </si>
  <si>
    <t>Number of Romani language teacher candidates prepared for the state language examination (disaggregated by gender, Roma)</t>
  </si>
  <si>
    <t>LDI_OTC3_OTP1_IND5</t>
  </si>
  <si>
    <t>Number of multipliers/trainers trained in Education for democratic citizenship (EDC) and Human rights education (HRE) (disaggregated by gender, Roma)</t>
  </si>
  <si>
    <t>LDI_OTC3_OTP1_IND6</t>
  </si>
  <si>
    <t>Number of professional staff trained in Education for democratic Citizenship (EDC) and Human Rights education (HRE) (disaggregated by gender, Roma)</t>
  </si>
  <si>
    <t>LDI_OTC3_OTP1_IND7</t>
  </si>
  <si>
    <t>LDI_OTCB</t>
  </si>
  <si>
    <t>TBD[3]</t>
  </si>
  <si>
    <t>≥4.5, And an increase on the baseline</t>
  </si>
  <si>
    <t>indicators_LDI_OTCB</t>
  </si>
  <si>
    <t>LDI_OTCB_IND1</t>
  </si>
  <si>
    <t>TBD[4]</t>
  </si>
  <si>
    <t>LDI_OTCB_IND2</t>
  </si>
  <si>
    <t>LDI_OTCB_IND3</t>
  </si>
  <si>
    <t>LDI_OTCB_OTP1_IND1</t>
  </si>
  <si>
    <t>LDI_OTCB_OTP1_IND2</t>
  </si>
  <si>
    <t>LDI_OTC1_IND1</t>
  </si>
  <si>
    <t>LDI_OTC1_IND2</t>
  </si>
  <si>
    <t>LDI_OTC1_IND3</t>
  </si>
  <si>
    <t>LDI_OTC2_IND1</t>
  </si>
  <si>
    <t>LDI_OTC2_IND2</t>
  </si>
  <si>
    <t>LDI_OTC2_IND3</t>
  </si>
  <si>
    <t>Social and economic development of the least developed districts strengthened</t>
  </si>
  <si>
    <t>Social inclusion of marginalized Roma communities enhanced</t>
  </si>
  <si>
    <t>Capacity of schools for inclusive education enhanced</t>
  </si>
  <si>
    <t>Enhanced collaboration between beneficiary and donor state entities involved in the programme</t>
  </si>
  <si>
    <t>indicators_LDI_OTC_bilateral</t>
  </si>
  <si>
    <t>indicators_LDI_OTC1_table</t>
  </si>
  <si>
    <t>indicators_LDI_OTC2_table</t>
  </si>
  <si>
    <t>indicators_LDI_OTC3_table</t>
  </si>
  <si>
    <t>indicators_LDI_OTC_bilateral_table</t>
  </si>
  <si>
    <t>Services and infrastructure for children and youth provided</t>
  </si>
  <si>
    <t>Services to Marginalised Roma Communities provided</t>
  </si>
  <si>
    <t>Capacities of organisations active in the social inclusion of marginalised Roma communities increased</t>
  </si>
  <si>
    <t>Children and youth with a Roma background empowered</t>
  </si>
  <si>
    <t>Number of pedagogical staff participating in the “Lillehammer” Study visit (disaggregated by gender, Roma)</t>
  </si>
  <si>
    <t xml:space="preserve">Project Promoter’ s records, Attendance sheets </t>
  </si>
  <si>
    <t>Number of materials summarizing achieved results of the project</t>
  </si>
  <si>
    <t>Bratislavský</t>
  </si>
  <si>
    <t>Nitriansky</t>
  </si>
  <si>
    <t>Trenčiansky</t>
  </si>
  <si>
    <t>Trnavský</t>
  </si>
  <si>
    <t>Žilinský</t>
  </si>
  <si>
    <t>Malacky</t>
  </si>
  <si>
    <t>Bratislava I</t>
  </si>
  <si>
    <t>Bratislava II</t>
  </si>
  <si>
    <t>Bratislava III</t>
  </si>
  <si>
    <t>Bratislava IV</t>
  </si>
  <si>
    <t>Bratislava V</t>
  </si>
  <si>
    <t>Senec</t>
  </si>
  <si>
    <t>Pezinok</t>
  </si>
  <si>
    <t>Levice</t>
  </si>
  <si>
    <t>Komárno</t>
  </si>
  <si>
    <t>Nové Zámky</t>
  </si>
  <si>
    <t>Nitra</t>
  </si>
  <si>
    <t>Topoľčany</t>
  </si>
  <si>
    <t>Šaľa</t>
  </si>
  <si>
    <t>Zlaté Moravce</t>
  </si>
  <si>
    <t>Myjava</t>
  </si>
  <si>
    <t>Ilava</t>
  </si>
  <si>
    <t>Bánovce nad Bebravou</t>
  </si>
  <si>
    <t>Púchov</t>
  </si>
  <si>
    <t>Prievidza</t>
  </si>
  <si>
    <t>Partizánske</t>
  </si>
  <si>
    <t>Nové Mesto nad Váhom</t>
  </si>
  <si>
    <t>Považská Bystrica</t>
  </si>
  <si>
    <t>Trenčín</t>
  </si>
  <si>
    <t>Galanta</t>
  </si>
  <si>
    <t>Dunajská Streda</t>
  </si>
  <si>
    <t>Hlohovec</t>
  </si>
  <si>
    <t>Skalica</t>
  </si>
  <si>
    <t>Senica</t>
  </si>
  <si>
    <t>Piešťany</t>
  </si>
  <si>
    <t>Trnava</t>
  </si>
  <si>
    <t>Námestovo</t>
  </si>
  <si>
    <t>Martin</t>
  </si>
  <si>
    <t>Liptovský Mikuláš</t>
  </si>
  <si>
    <t>Kysucké Nové Mesto</t>
  </si>
  <si>
    <t>Dolný Kubín</t>
  </si>
  <si>
    <t>Čadca</t>
  </si>
  <si>
    <t>Bytča</t>
  </si>
  <si>
    <t>Ružomberok</t>
  </si>
  <si>
    <t>Tvrdošín</t>
  </si>
  <si>
    <t>Turčianske Teplice</t>
  </si>
  <si>
    <t>Žilina</t>
  </si>
  <si>
    <t>Other civil society groups and institution - NGO</t>
  </si>
  <si>
    <t>Other civil society groups and institution - social partner</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</si>
  <si>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Ministry of investments, regional developement and informatization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</si>
  <si>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Ministry of investments, regional developement and informatization of the Slovak Republic and hold harmless against any third party claims relating to but not limited to the publication of the above mentioned.</t>
  </si>
  <si>
    <t>I hereby declare that no significant change shall occur in the period from the submission of the Application until the conclusion of the Project Contract, which:</t>
  </si>
  <si>
    <t>I am aware that in case of violation of this declaration or these declarations, the grant may not be granted and thus  the Ministry of investments, regional developement and informatization of the Slovak Republic is entitled to request the entire amount of the grant provided. By submitting this Application I consent to this Declaration and to all of the above mentioned (even if the Application is not signed).</t>
  </si>
  <si>
    <t>A completed questionnaire, including an awareness-raising and education campaign plan.</t>
  </si>
  <si>
    <t>Partnership statement, letter of intent or other similar document proving the interest of the applicant and the partner to jointly implement the project together, signed by the mandatory partner.</t>
  </si>
  <si>
    <t>A completed test of local character of social services.</t>
  </si>
  <si>
    <t xml:space="preserve">Number of counselling centres or shelters supported within the project </t>
  </si>
  <si>
    <t>Number of local or regional self-governing institutions involved in the project</t>
  </si>
  <si>
    <t>Number of state administration bodies involved in the Project, including police</t>
  </si>
  <si>
    <t>Number of other institutions involved in the project</t>
  </si>
  <si>
    <t>Number of supported counselling centres meeting CoE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</si>
</sst>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quot;€&quot;"/>
  </numFmts>
  <fonts count="83"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
      <i/>
      <sz val="10"/>
      <name val="Arial"/>
      <family val="2"/>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43"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697">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0" xfId="0" applyFill="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43"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43"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4"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4"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4"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32" fillId="0" borderId="0" xfId="0" applyFont="1" applyFill="1" applyAlignment="1"/>
    <xf numFmtId="0" fontId="3" fillId="0" borderId="0" xfId="0" applyFont="1" applyFill="1" applyAlignment="1"/>
    <xf numFmtId="10" fontId="1" fillId="28" borderId="19" xfId="0" applyNumberFormat="1" applyFont="1" applyFill="1" applyBorder="1" applyAlignment="1" applyProtection="1">
      <alignment vertical="center" wrapText="1"/>
      <protection locked="0"/>
    </xf>
    <xf numFmtId="0" fontId="1" fillId="27" borderId="19" xfId="0" applyFont="1" applyFill="1" applyBorder="1" applyAlignment="1" applyProtection="1">
      <alignment horizontal="center" vertical="center" wrapText="1"/>
    </xf>
    <xf numFmtId="2" fontId="1" fillId="0" borderId="10" xfId="34" applyNumberFormat="1" applyFont="1" applyBorder="1" applyAlignment="1" applyProtection="1">
      <alignment horizontal="center" vertical="center" wrapText="1"/>
    </xf>
    <xf numFmtId="2" fontId="1" fillId="0" borderId="0" xfId="34" applyNumberFormat="1" applyFont="1" applyBorder="1" applyAlignment="1" applyProtection="1">
      <alignment horizontal="center" vertical="center" wrapText="1"/>
    </xf>
    <xf numFmtId="2" fontId="1" fillId="0" borderId="41" xfId="34" applyNumberFormat="1" applyFont="1" applyBorder="1" applyAlignment="1" applyProtection="1">
      <alignment horizontal="center" vertical="center" wrapText="1"/>
    </xf>
    <xf numFmtId="0" fontId="0" fillId="0" borderId="41" xfId="0" applyBorder="1" applyAlignment="1" applyProtection="1">
      <alignment horizontal="center" vertical="center"/>
    </xf>
    <xf numFmtId="0" fontId="1" fillId="28" borderId="19" xfId="0" applyNumberFormat="1" applyFont="1" applyFill="1" applyBorder="1" applyAlignment="1" applyProtection="1">
      <alignment vertical="center" wrapText="1"/>
      <protection locked="0"/>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0" fontId="24" fillId="0" borderId="20" xfId="0"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33" fillId="28" borderId="20" xfId="0" applyFont="1" applyFill="1" applyBorder="1" applyAlignment="1" applyProtection="1">
      <alignment vertical="center"/>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28" borderId="20" xfId="0"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left" vertical="center"/>
    </xf>
    <xf numFmtId="0" fontId="0" fillId="0" borderId="21" xfId="0" applyBorder="1" applyAlignment="1" applyProtection="1">
      <alignment vertical="center"/>
    </xf>
    <xf numFmtId="0" fontId="21" fillId="0" borderId="20" xfId="0" applyFont="1" applyFill="1" applyBorder="1" applyAlignment="1" applyProtection="1">
      <alignment vertical="center"/>
    </xf>
    <xf numFmtId="0" fontId="0" fillId="0" borderId="18" xfId="0" applyBorder="1" applyAlignment="1" applyProtection="1">
      <alignment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49" fontId="21" fillId="28" borderId="20" xfId="0" applyNumberFormat="1" applyFont="1" applyFill="1" applyBorder="1" applyAlignment="1" applyProtection="1">
      <alignment vertical="center" wrapText="1"/>
      <protection locked="0"/>
    </xf>
    <xf numFmtId="0" fontId="24" fillId="28"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0" fillId="0" borderId="19" xfId="0" applyBorder="1" applyAlignment="1" applyProtection="1">
      <alignment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1" fillId="0" borderId="0" xfId="0" applyFont="1" applyFill="1" applyBorder="1" applyAlignment="1" applyProtection="1">
      <alignment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28" borderId="20" xfId="0" applyFill="1" applyBorder="1" applyAlignment="1" applyProtection="1">
      <alignment horizontal="center" vertical="center" wrapText="1"/>
      <protection locked="0"/>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0" borderId="19" xfId="0" applyFont="1" applyBorder="1" applyAlignment="1" applyProtection="1">
      <alignment vertical="center" wrapText="1"/>
    </xf>
    <xf numFmtId="0" fontId="0" fillId="28" borderId="21" xfId="0" applyFill="1" applyBorder="1" applyAlignment="1" applyProtection="1">
      <alignment horizontal="center" vertical="center" wrapText="1"/>
      <protection locked="0"/>
    </xf>
    <xf numFmtId="0" fontId="0" fillId="0" borderId="18" xfId="0" applyBorder="1" applyAlignment="1">
      <alignment vertical="center"/>
    </xf>
    <xf numFmtId="0" fontId="0" fillId="0" borderId="21" xfId="0" applyBorder="1" applyAlignment="1">
      <alignment vertical="center"/>
    </xf>
    <xf numFmtId="0" fontId="0" fillId="0" borderId="21" xfId="0" applyBorder="1" applyAlignment="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55" fillId="0" borderId="12" xfId="0" applyFont="1" applyFill="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41" xfId="0" applyFill="1" applyBorder="1" applyAlignment="1" applyProtection="1">
      <alignment horizontal="center" vertical="center" wrapText="1"/>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4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1" fillId="0" borderId="0" xfId="34" applyNumberFormat="1" applyFont="1" applyBorder="1" applyAlignment="1" applyProtection="1">
      <alignment horizontal="center" vertical="center" wrapText="1"/>
    </xf>
    <xf numFmtId="49" fontId="1" fillId="0" borderId="41" xfId="34" applyNumberFormat="1" applyFont="1" applyBorder="1" applyAlignment="1" applyProtection="1">
      <alignment horizontal="center" vertical="center" wrapText="1"/>
    </xf>
    <xf numFmtId="2" fontId="1" fillId="0" borderId="10" xfId="34" applyNumberFormat="1" applyFont="1" applyBorder="1" applyAlignment="1" applyProtection="1">
      <alignment horizontal="center" vertical="center" wrapText="1"/>
    </xf>
    <xf numFmtId="2" fontId="1" fillId="0" borderId="0" xfId="34" applyNumberFormat="1" applyFont="1" applyBorder="1" applyAlignment="1" applyProtection="1">
      <alignment horizontal="center" vertical="center" wrapText="1"/>
    </xf>
    <xf numFmtId="2" fontId="1" fillId="0" borderId="4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4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0" xfId="0" applyFont="1" applyFill="1" applyBorder="1" applyAlignment="1" applyProtection="1">
      <alignment wrapText="1"/>
    </xf>
    <xf numFmtId="0" fontId="1" fillId="28" borderId="20"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1" fillId="28" borderId="20" xfId="0" applyFont="1" applyFill="1" applyBorder="1" applyAlignment="1" applyProtection="1">
      <alignment vertical="center" wrapText="1"/>
      <protection locked="0"/>
    </xf>
    <xf numFmtId="0" fontId="0" fillId="0" borderId="20" xfId="0" applyBorder="1" applyAlignment="1" applyProtection="1">
      <alignment vertical="center" wrapText="1"/>
    </xf>
    <xf numFmtId="0" fontId="82" fillId="28" borderId="20" xfId="0" applyFont="1" applyFill="1"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21" xfId="0" applyBorder="1" applyAlignment="1" applyProtection="1">
      <alignment vertical="top"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24" fillId="0" borderId="20"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0" fontId="1" fillId="26" borderId="20" xfId="0" applyFont="1" applyFill="1" applyBorder="1" applyAlignment="1" applyProtection="1">
      <alignmen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4" fillId="0" borderId="11" xfId="0" applyFont="1" applyFill="1" applyBorder="1" applyAlignment="1" applyProtection="1">
      <alignment horizontal="right" vertical="center" wrapText="1" indent="1"/>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8" fillId="0" borderId="13" xfId="0" applyFont="1" applyBorder="1" applyAlignment="1" applyProtection="1">
      <alignment horizontal="center" vertical="center"/>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5" fillId="28" borderId="20" xfId="0" applyNumberFormat="1" applyFont="1" applyFill="1" applyBorder="1" applyAlignment="1" applyProtection="1">
      <alignment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wrapText="1"/>
      <protection locked="0"/>
    </xf>
    <xf numFmtId="49" fontId="30" fillId="28" borderId="21" xfId="0" applyNumberFormat="1" applyFont="1" applyFill="1" applyBorder="1" applyAlignment="1" applyProtection="1">
      <alignment horizontal="center" vertical="center" wrapText="1"/>
      <protection locked="0"/>
    </xf>
    <xf numFmtId="49" fontId="20" fillId="28" borderId="19" xfId="0" applyNumberFormat="1" applyFont="1" applyFill="1" applyBorder="1" applyAlignment="1" applyProtection="1">
      <alignment horizontal="center" vertical="center" wrapText="1"/>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56">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827-4DEE-955C-4B13E919E996}"/>
            </c:ext>
          </c:extLst>
        </c:ser>
        <c:ser>
          <c:idx val="2"/>
          <c:order val="1"/>
          <c:tx>
            <c:strRef>
              <c:f>Overview!$C$96</c:f>
              <c:strCache>
                <c:ptCount val="1"/>
                <c:pt idx="0">
                  <c:v>Duration</c:v>
                </c:pt>
              </c:strCache>
            </c:strRef>
          </c:tx>
          <c:invertIfNegative val="0"/>
          <c:dLbls>
            <c:spPr>
              <a:noFill/>
              <a:ln>
                <a:noFill/>
              </a:ln>
              <a:effectLst/>
            </c:sp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1827-4DEE-955C-4B13E919E996}"/>
            </c:ext>
          </c:extLst>
        </c:ser>
        <c:dLbls>
          <c:showLegendKey val="0"/>
          <c:showVal val="0"/>
          <c:showCatName val="0"/>
          <c:showSerName val="0"/>
          <c:showPercent val="0"/>
          <c:showBubbleSize val="0"/>
        </c:dLbls>
        <c:gapWidth val="55"/>
        <c:overlap val="100"/>
        <c:axId val="131697280"/>
        <c:axId val="131776896"/>
      </c:barChart>
      <c:catAx>
        <c:axId val="131697280"/>
        <c:scaling>
          <c:orientation val="maxMin"/>
        </c:scaling>
        <c:delete val="1"/>
        <c:axPos val="l"/>
        <c:numFmt formatCode="General" sourceLinked="1"/>
        <c:majorTickMark val="none"/>
        <c:minorTickMark val="none"/>
        <c:tickLblPos val="nextTo"/>
        <c:crossAx val="131776896"/>
        <c:crosses val="autoZero"/>
        <c:auto val="1"/>
        <c:lblAlgn val="ctr"/>
        <c:lblOffset val="100"/>
        <c:noMultiLvlLbl val="0"/>
      </c:catAx>
      <c:valAx>
        <c:axId val="131776896"/>
        <c:scaling>
          <c:orientation val="minMax"/>
          <c:max val="48"/>
          <c:min val="0"/>
        </c:scaling>
        <c:delete val="0"/>
        <c:axPos val="t"/>
        <c:majorGridlines>
          <c:spPr>
            <a:ln>
              <a:noFill/>
            </a:ln>
          </c:spPr>
        </c:majorGridlines>
        <c:numFmt formatCode="General" sourceLinked="0"/>
        <c:majorTickMark val="none"/>
        <c:minorTickMark val="none"/>
        <c:tickLblPos val="nextTo"/>
        <c:crossAx val="131697280"/>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topLeftCell="A4" zoomScale="85" zoomScaleNormal="85" zoomScaleSheetLayoutView="85" zoomScalePageLayoutView="85" workbookViewId="0">
      <selection activeCell="I438" sqref="I438:K438"/>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59"/>
      <c r="C1" s="604" t="s">
        <v>387</v>
      </c>
      <c r="D1" s="604"/>
      <c r="E1" s="604"/>
      <c r="F1" s="604"/>
      <c r="G1" s="604"/>
      <c r="H1" s="604"/>
      <c r="I1" s="604"/>
      <c r="J1" s="604"/>
      <c r="K1" s="604"/>
      <c r="L1" s="604"/>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50</v>
      </c>
      <c r="C3" s="17"/>
      <c r="D3" s="17"/>
      <c r="E3" s="23">
        <v>1</v>
      </c>
      <c r="F3" s="17"/>
      <c r="G3" s="17"/>
      <c r="H3" s="17"/>
      <c r="I3" s="17"/>
      <c r="J3" s="22" t="s">
        <v>982</v>
      </c>
      <c r="K3" s="23" t="s">
        <v>1005</v>
      </c>
    </row>
    <row r="4" spans="1:13" ht="8.25" customHeight="1" x14ac:dyDescent="0.2"/>
    <row r="5" spans="1:13" ht="18" customHeight="1" x14ac:dyDescent="0.2">
      <c r="B5" s="24" t="s">
        <v>51</v>
      </c>
      <c r="C5" s="24"/>
      <c r="D5" s="25"/>
      <c r="E5" s="25"/>
      <c r="F5" s="25"/>
      <c r="G5" s="25"/>
      <c r="H5" s="25"/>
      <c r="I5" s="25"/>
      <c r="J5" s="25"/>
      <c r="K5" s="25"/>
      <c r="L5" s="26"/>
    </row>
    <row r="6" spans="1:13" ht="18" customHeight="1" x14ac:dyDescent="0.2">
      <c r="B6" s="24" t="s">
        <v>52</v>
      </c>
      <c r="C6" s="24"/>
      <c r="D6" s="25"/>
      <c r="E6" s="25"/>
      <c r="F6" s="25"/>
      <c r="G6" s="25"/>
      <c r="H6" s="25"/>
      <c r="I6" s="25"/>
      <c r="J6" s="25"/>
      <c r="K6" s="25"/>
      <c r="L6" s="26"/>
    </row>
    <row r="7" spans="1:13" ht="27" customHeight="1" x14ac:dyDescent="0.2">
      <c r="B7" s="614"/>
      <c r="C7" s="615"/>
      <c r="D7" s="615"/>
      <c r="E7" s="615"/>
      <c r="F7" s="615"/>
      <c r="G7" s="615"/>
      <c r="H7" s="615"/>
      <c r="I7" s="615"/>
      <c r="J7" s="615"/>
      <c r="K7" s="615"/>
      <c r="L7" s="616"/>
    </row>
    <row r="8" spans="1:13" s="27" customFormat="1" ht="3.95" customHeight="1" x14ac:dyDescent="0.2">
      <c r="B8" s="28"/>
      <c r="C8" s="29"/>
      <c r="D8" s="30"/>
      <c r="E8" s="30"/>
      <c r="F8" s="30"/>
      <c r="G8" s="30"/>
      <c r="H8" s="30"/>
      <c r="I8" s="30"/>
      <c r="J8" s="30"/>
      <c r="K8" s="30"/>
      <c r="L8" s="31"/>
    </row>
    <row r="9" spans="1:13" s="27" customFormat="1" ht="18" customHeight="1" x14ac:dyDescent="0.2">
      <c r="B9" s="32" t="s">
        <v>221</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2" t="str">
        <f>VLOOKUP(programme_title,programmes_table,2,FALSE)</f>
        <v>DGV</v>
      </c>
      <c r="C11" s="35"/>
      <c r="D11" s="611" t="s">
        <v>816</v>
      </c>
      <c r="E11" s="612"/>
      <c r="F11" s="612"/>
      <c r="G11" s="612"/>
      <c r="H11" s="612"/>
      <c r="I11" s="612"/>
      <c r="J11" s="612"/>
      <c r="K11" s="613"/>
      <c r="L11" s="231"/>
    </row>
    <row r="12" spans="1:13" s="27" customFormat="1" ht="3.75" customHeight="1" x14ac:dyDescent="0.2">
      <c r="B12" s="37"/>
      <c r="C12" s="38"/>
      <c r="D12" s="39"/>
      <c r="E12" s="38"/>
      <c r="F12" s="38"/>
      <c r="G12" s="38"/>
      <c r="H12" s="38"/>
      <c r="I12" s="38"/>
      <c r="J12" s="38"/>
      <c r="K12" s="38"/>
      <c r="L12" s="40"/>
    </row>
    <row r="13" spans="1:13" s="27" customFormat="1" ht="18" customHeight="1" x14ac:dyDescent="0.2">
      <c r="B13" s="32" t="s">
        <v>222</v>
      </c>
      <c r="C13" s="33"/>
      <c r="D13" s="33"/>
      <c r="E13" s="33"/>
      <c r="F13" s="33"/>
      <c r="G13" s="33"/>
      <c r="H13" s="33"/>
      <c r="I13" s="33"/>
      <c r="J13" s="33"/>
      <c r="K13" s="33"/>
      <c r="L13" s="34"/>
    </row>
    <row r="14" spans="1:13" s="27" customFormat="1" ht="3.75" customHeight="1" x14ac:dyDescent="0.2">
      <c r="B14" s="28"/>
      <c r="C14" s="29"/>
      <c r="D14" s="30"/>
      <c r="E14" s="30"/>
      <c r="F14" s="30"/>
      <c r="G14" s="30"/>
      <c r="H14" s="30"/>
      <c r="I14" s="30"/>
      <c r="J14" s="30"/>
      <c r="K14" s="30"/>
      <c r="L14" s="31"/>
    </row>
    <row r="15" spans="1:13" s="27" customFormat="1" ht="35.25" customHeight="1" x14ac:dyDescent="0.2">
      <c r="B15" s="232" t="str">
        <f>VLOOKUP(programme_outcome,outcomes_table,2,FALSE)</f>
        <v>DGV_OTC2</v>
      </c>
      <c r="C15" s="35"/>
      <c r="D15" s="611" t="s">
        <v>829</v>
      </c>
      <c r="E15" s="612"/>
      <c r="F15" s="612"/>
      <c r="G15" s="612"/>
      <c r="H15" s="612"/>
      <c r="I15" s="612"/>
      <c r="J15" s="612"/>
      <c r="K15" s="613"/>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53</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35.25" customHeight="1" x14ac:dyDescent="0.2">
      <c r="B20" s="28"/>
      <c r="C20" s="35"/>
      <c r="D20" s="611" t="s">
        <v>845</v>
      </c>
      <c r="E20" s="612"/>
      <c r="F20" s="612"/>
      <c r="G20" s="612"/>
      <c r="H20" s="612"/>
      <c r="I20" s="612"/>
      <c r="J20" s="612"/>
      <c r="K20" s="613"/>
      <c r="L20" s="36"/>
      <c r="N20" s="400" t="str">
        <f>IF(COUNTIF($D$20:$D$30,D20)&gt;1,"The same output was selected more than once. /  Rovnaký výsledok bol vybraný viac ako jedenkrát","")</f>
        <v/>
      </c>
    </row>
    <row r="21" spans="2:14" s="27" customFormat="1" ht="12" customHeight="1" x14ac:dyDescent="0.2">
      <c r="B21" s="37"/>
      <c r="C21" s="38"/>
      <c r="D21" s="39"/>
      <c r="E21" s="38"/>
      <c r="F21" s="38"/>
      <c r="G21" s="38"/>
      <c r="H21" s="38"/>
      <c r="I21" s="38"/>
      <c r="J21" s="38"/>
      <c r="K21" s="38"/>
      <c r="L21" s="40"/>
      <c r="N21" s="401"/>
    </row>
    <row r="22" spans="2:14" s="27" customFormat="1" ht="9.75" customHeight="1" x14ac:dyDescent="0.2">
      <c r="B22" s="28"/>
      <c r="C22" s="29"/>
      <c r="D22" s="30"/>
      <c r="E22" s="30"/>
      <c r="F22" s="30"/>
      <c r="G22" s="30"/>
      <c r="H22" s="30"/>
      <c r="I22" s="30"/>
      <c r="J22" s="30"/>
      <c r="K22" s="30"/>
      <c r="L22" s="31"/>
      <c r="N22" s="401"/>
    </row>
    <row r="23" spans="2:14" s="27" customFormat="1" ht="35.25" customHeight="1" x14ac:dyDescent="0.2">
      <c r="B23" s="28"/>
      <c r="C23" s="35" t="s">
        <v>55</v>
      </c>
      <c r="D23" s="611" t="s">
        <v>846</v>
      </c>
      <c r="E23" s="612"/>
      <c r="F23" s="612"/>
      <c r="G23" s="612"/>
      <c r="H23" s="612"/>
      <c r="I23" s="612"/>
      <c r="J23" s="612"/>
      <c r="K23" s="613"/>
      <c r="L23" s="36"/>
      <c r="N23" s="400" t="str">
        <f>IF(COUNTIF($D$20:$D$30,D23)&gt;1,"The same output was selected more than once. /  Rovnaký výsledok bol vybraný viac ako jedenkrát","")</f>
        <v/>
      </c>
    </row>
    <row r="24" spans="2:14" s="27" customFormat="1" ht="10.5" customHeight="1" x14ac:dyDescent="0.2">
      <c r="B24" s="37"/>
      <c r="C24" s="38"/>
      <c r="D24" s="39"/>
      <c r="E24" s="38"/>
      <c r="F24" s="38"/>
      <c r="G24" s="38"/>
      <c r="H24" s="38"/>
      <c r="I24" s="38"/>
      <c r="J24" s="38"/>
      <c r="K24" s="38"/>
      <c r="L24" s="40"/>
      <c r="N24" s="401"/>
    </row>
    <row r="25" spans="2:14" s="27" customFormat="1" ht="35.25" hidden="1" customHeight="1" x14ac:dyDescent="0.2">
      <c r="B25" s="28"/>
      <c r="C25" s="29"/>
      <c r="D25" s="30"/>
      <c r="E25" s="30"/>
      <c r="F25" s="30"/>
      <c r="G25" s="30"/>
      <c r="H25" s="30"/>
      <c r="I25" s="30"/>
      <c r="J25" s="30"/>
      <c r="K25" s="30"/>
      <c r="L25" s="31"/>
      <c r="N25" s="401"/>
    </row>
    <row r="26" spans="2:14" s="27" customFormat="1" ht="55.5" hidden="1" customHeight="1" x14ac:dyDescent="0.2">
      <c r="B26" s="28"/>
      <c r="C26" s="35" t="s">
        <v>55</v>
      </c>
      <c r="D26" s="618"/>
      <c r="E26" s="619"/>
      <c r="F26" s="619"/>
      <c r="G26" s="619"/>
      <c r="H26" s="619"/>
      <c r="I26" s="619"/>
      <c r="J26" s="619"/>
      <c r="K26" s="620"/>
      <c r="L26" s="36"/>
      <c r="N26" s="400" t="str">
        <f>IF(COUNTIF($D$20:$D$30,D26)&gt;1,"The same output was selected more than once. /  Rovnaký výsledok bol vybraný viac ako jedenkrát","")</f>
        <v/>
      </c>
    </row>
    <row r="27" spans="2:14" s="27" customFormat="1" ht="3" hidden="1" customHeight="1" x14ac:dyDescent="0.2">
      <c r="B27" s="37"/>
      <c r="C27" s="38"/>
      <c r="D27" s="39"/>
      <c r="E27" s="38"/>
      <c r="F27" s="38"/>
      <c r="G27" s="38"/>
      <c r="H27" s="38"/>
      <c r="I27" s="38"/>
      <c r="J27" s="38"/>
      <c r="K27" s="38"/>
      <c r="L27" s="40"/>
      <c r="N27" s="401"/>
    </row>
    <row r="28" spans="2:14" s="27" customFormat="1" ht="10.5" hidden="1" customHeight="1" x14ac:dyDescent="0.2">
      <c r="B28" s="28"/>
      <c r="C28" s="29"/>
      <c r="D28" s="30"/>
      <c r="E28" s="30"/>
      <c r="F28" s="30"/>
      <c r="G28" s="30"/>
      <c r="H28" s="30"/>
      <c r="I28" s="30"/>
      <c r="J28" s="30"/>
      <c r="K28" s="30"/>
      <c r="L28" s="31"/>
      <c r="N28" s="401"/>
    </row>
    <row r="29" spans="2:14" s="27" customFormat="1" ht="35.25" hidden="1" customHeight="1" x14ac:dyDescent="0.2">
      <c r="B29" s="28"/>
      <c r="C29" s="35" t="s">
        <v>55</v>
      </c>
      <c r="D29" s="618"/>
      <c r="E29" s="619"/>
      <c r="F29" s="619"/>
      <c r="G29" s="619"/>
      <c r="H29" s="619"/>
      <c r="I29" s="619"/>
      <c r="J29" s="619"/>
      <c r="K29" s="620"/>
      <c r="L29" s="36"/>
      <c r="N29" s="400" t="str">
        <f>IF(COUNTIF($D$20:$D$30,D29)&gt;1,"The same output was selected more than once. /  Rovnaký výsledok bol vybraný viac ako jedenkrát","")</f>
        <v/>
      </c>
    </row>
    <row r="30" spans="2:14" s="27" customFormat="1" ht="12.75" hidden="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54</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621" t="s">
        <v>172</v>
      </c>
      <c r="D35" s="622"/>
      <c r="E35" s="623"/>
      <c r="F35" s="481"/>
      <c r="G35" s="466"/>
      <c r="H35" s="466"/>
      <c r="I35" s="466"/>
      <c r="J35" s="466"/>
      <c r="K35" s="467"/>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621" t="s">
        <v>56</v>
      </c>
      <c r="D37" s="622"/>
      <c r="E37" s="623"/>
      <c r="F37" s="481"/>
      <c r="G37" s="466"/>
      <c r="H37" s="466"/>
      <c r="I37" s="466"/>
      <c r="J37" s="466"/>
      <c r="K37" s="467"/>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621" t="s">
        <v>57</v>
      </c>
      <c r="D39" s="622"/>
      <c r="E39" s="623"/>
      <c r="F39" s="481"/>
      <c r="G39" s="466"/>
      <c r="H39" s="466"/>
      <c r="I39" s="466"/>
      <c r="J39" s="466"/>
      <c r="K39" s="467"/>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621" t="s">
        <v>57</v>
      </c>
      <c r="D41" s="622"/>
      <c r="E41" s="623"/>
      <c r="F41" s="481"/>
      <c r="G41" s="466"/>
      <c r="H41" s="466"/>
      <c r="I41" s="466"/>
      <c r="J41" s="466"/>
      <c r="K41" s="467"/>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621" t="s">
        <v>57</v>
      </c>
      <c r="D43" s="622"/>
      <c r="E43" s="623"/>
      <c r="F43" s="481"/>
      <c r="G43" s="466"/>
      <c r="H43" s="466"/>
      <c r="I43" s="466"/>
      <c r="J43" s="466"/>
      <c r="K43" s="467"/>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621" t="s">
        <v>173</v>
      </c>
      <c r="D47" s="622"/>
      <c r="E47" s="623"/>
      <c r="F47" s="481"/>
      <c r="G47" s="466"/>
      <c r="H47" s="466"/>
      <c r="I47" s="466"/>
      <c r="J47" s="466"/>
      <c r="K47" s="467"/>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621" t="s">
        <v>56</v>
      </c>
      <c r="D49" s="622"/>
      <c r="E49" s="622"/>
      <c r="F49" s="481"/>
      <c r="G49" s="466"/>
      <c r="H49" s="466"/>
      <c r="I49" s="466"/>
      <c r="J49" s="466"/>
      <c r="K49" s="467"/>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624"/>
      <c r="D52" s="625"/>
      <c r="E52" s="625"/>
      <c r="F52" s="625"/>
      <c r="G52" s="625"/>
      <c r="H52" s="625"/>
      <c r="I52" s="625"/>
      <c r="J52" s="625"/>
      <c r="K52" s="626"/>
      <c r="L52" s="46"/>
    </row>
    <row r="53" spans="2:12" s="27" customFormat="1" ht="3.95" customHeight="1" x14ac:dyDescent="0.2">
      <c r="B53" s="28"/>
      <c r="C53" s="627"/>
      <c r="D53" s="628"/>
      <c r="E53" s="628"/>
      <c r="F53" s="628"/>
      <c r="G53" s="628"/>
      <c r="H53" s="628"/>
      <c r="I53" s="628"/>
      <c r="J53" s="628"/>
      <c r="K53" s="629"/>
      <c r="L53" s="31"/>
    </row>
    <row r="54" spans="2:12" ht="18" customHeight="1" x14ac:dyDescent="0.2">
      <c r="B54" s="1"/>
      <c r="C54" s="627"/>
      <c r="D54" s="628"/>
      <c r="E54" s="628"/>
      <c r="F54" s="628"/>
      <c r="G54" s="628"/>
      <c r="H54" s="628"/>
      <c r="I54" s="628"/>
      <c r="J54" s="628"/>
      <c r="K54" s="629"/>
      <c r="L54" s="46"/>
    </row>
    <row r="55" spans="2:12" s="27" customFormat="1" ht="3.95" customHeight="1" x14ac:dyDescent="0.2">
      <c r="B55" s="28"/>
      <c r="C55" s="627"/>
      <c r="D55" s="628"/>
      <c r="E55" s="628"/>
      <c r="F55" s="628"/>
      <c r="G55" s="628"/>
      <c r="H55" s="628"/>
      <c r="I55" s="628"/>
      <c r="J55" s="628"/>
      <c r="K55" s="629"/>
      <c r="L55" s="31"/>
    </row>
    <row r="56" spans="2:12" ht="18" customHeight="1" x14ac:dyDescent="0.2">
      <c r="B56" s="1"/>
      <c r="C56" s="627"/>
      <c r="D56" s="628"/>
      <c r="E56" s="628"/>
      <c r="F56" s="628"/>
      <c r="G56" s="628"/>
      <c r="H56" s="628"/>
      <c r="I56" s="628"/>
      <c r="J56" s="628"/>
      <c r="K56" s="629"/>
      <c r="L56" s="46"/>
    </row>
    <row r="57" spans="2:12" s="27" customFormat="1" ht="3.95" customHeight="1" x14ac:dyDescent="0.2">
      <c r="B57" s="28"/>
      <c r="C57" s="627"/>
      <c r="D57" s="628"/>
      <c r="E57" s="628"/>
      <c r="F57" s="628"/>
      <c r="G57" s="628"/>
      <c r="H57" s="628"/>
      <c r="I57" s="628"/>
      <c r="J57" s="628"/>
      <c r="K57" s="629"/>
      <c r="L57" s="31"/>
    </row>
    <row r="58" spans="2:12" ht="18" customHeight="1" x14ac:dyDescent="0.2">
      <c r="B58" s="1"/>
      <c r="C58" s="627"/>
      <c r="D58" s="628"/>
      <c r="E58" s="628"/>
      <c r="F58" s="628"/>
      <c r="G58" s="628"/>
      <c r="H58" s="628"/>
      <c r="I58" s="628"/>
      <c r="J58" s="628"/>
      <c r="K58" s="629"/>
      <c r="L58" s="46"/>
    </row>
    <row r="59" spans="2:12" s="27" customFormat="1" ht="3.95" customHeight="1" x14ac:dyDescent="0.2">
      <c r="B59" s="28"/>
      <c r="C59" s="627"/>
      <c r="D59" s="628"/>
      <c r="E59" s="628"/>
      <c r="F59" s="628"/>
      <c r="G59" s="628"/>
      <c r="H59" s="628"/>
      <c r="I59" s="628"/>
      <c r="J59" s="628"/>
      <c r="K59" s="629"/>
      <c r="L59" s="31"/>
    </row>
    <row r="60" spans="2:12" ht="18" customHeight="1" x14ac:dyDescent="0.2">
      <c r="B60" s="1"/>
      <c r="C60" s="630"/>
      <c r="D60" s="631"/>
      <c r="E60" s="631"/>
      <c r="F60" s="631"/>
      <c r="G60" s="631"/>
      <c r="H60" s="631"/>
      <c r="I60" s="631"/>
      <c r="J60" s="631"/>
      <c r="K60" s="632"/>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58</v>
      </c>
    </row>
    <row r="64" spans="2:12" ht="18" customHeight="1" x14ac:dyDescent="0.2">
      <c r="B64" s="24" t="s">
        <v>59</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71" t="s">
        <v>60</v>
      </c>
      <c r="C66" s="617"/>
      <c r="D66" s="605"/>
      <c r="E66" s="606"/>
      <c r="F66" s="606"/>
      <c r="G66" s="606"/>
      <c r="H66" s="606"/>
      <c r="I66" s="606"/>
      <c r="J66" s="606"/>
      <c r="K66" s="607"/>
      <c r="L66" s="46"/>
    </row>
    <row r="67" spans="1:12" ht="21" customHeight="1" x14ac:dyDescent="0.2">
      <c r="B67" s="571"/>
      <c r="C67" s="617"/>
      <c r="D67" s="608"/>
      <c r="E67" s="609"/>
      <c r="F67" s="609"/>
      <c r="G67" s="609"/>
      <c r="H67" s="609"/>
      <c r="I67" s="609"/>
      <c r="J67" s="609"/>
      <c r="K67" s="610"/>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110</v>
      </c>
      <c r="B70" s="1"/>
      <c r="C70" s="4"/>
      <c r="D70" s="2"/>
      <c r="E70" s="3"/>
      <c r="F70" s="3"/>
      <c r="G70" s="3"/>
      <c r="H70" s="3"/>
      <c r="I70" s="3"/>
      <c r="J70" s="3"/>
      <c r="K70" s="3"/>
      <c r="L70" s="58"/>
    </row>
    <row r="71" spans="1:12" ht="27" customHeight="1" x14ac:dyDescent="0.2">
      <c r="B71" s="571" t="s">
        <v>61</v>
      </c>
      <c r="C71" s="572"/>
      <c r="D71" s="572"/>
      <c r="E71" s="572"/>
      <c r="F71" s="617"/>
      <c r="G71" s="644"/>
      <c r="H71" s="645"/>
      <c r="I71" s="645"/>
      <c r="J71" s="645"/>
      <c r="K71" s="646"/>
      <c r="L71" s="46"/>
    </row>
    <row r="72" spans="1:12" ht="3.95" customHeight="1" x14ac:dyDescent="0.2">
      <c r="B72" s="1"/>
      <c r="C72" s="4"/>
      <c r="D72" s="2"/>
      <c r="E72" s="3"/>
      <c r="F72" s="3"/>
      <c r="G72" s="3"/>
      <c r="H72" s="3"/>
      <c r="I72" s="3"/>
      <c r="J72" s="3"/>
      <c r="K72" s="3"/>
      <c r="L72" s="58"/>
    </row>
    <row r="73" spans="1:12" ht="27" customHeight="1" x14ac:dyDescent="0.2">
      <c r="B73" s="571" t="s">
        <v>62</v>
      </c>
      <c r="C73" s="572"/>
      <c r="D73" s="572"/>
      <c r="E73" s="572"/>
      <c r="F73" s="572"/>
      <c r="G73" s="644"/>
      <c r="H73" s="651"/>
      <c r="I73" s="651"/>
      <c r="J73" s="651"/>
      <c r="K73" s="652"/>
      <c r="L73" s="46"/>
    </row>
    <row r="74" spans="1:12" ht="3.95" customHeight="1" x14ac:dyDescent="0.2">
      <c r="B74" s="1"/>
      <c r="C74" s="4"/>
      <c r="D74" s="2"/>
      <c r="E74" s="3"/>
      <c r="F74" s="3"/>
      <c r="G74" s="3"/>
      <c r="H74" s="3"/>
      <c r="I74" s="3"/>
      <c r="J74" s="3"/>
      <c r="K74" s="3"/>
      <c r="L74" s="58"/>
    </row>
    <row r="75" spans="1:12" ht="27" customHeight="1" x14ac:dyDescent="0.2">
      <c r="B75" s="571" t="s">
        <v>63</v>
      </c>
      <c r="C75" s="572"/>
      <c r="D75" s="572"/>
      <c r="E75" s="572"/>
      <c r="F75" s="572"/>
      <c r="G75" s="644"/>
      <c r="H75" s="651"/>
      <c r="I75" s="651"/>
      <c r="J75" s="651"/>
      <c r="K75" s="652"/>
      <c r="L75" s="46"/>
    </row>
    <row r="76" spans="1:12" ht="3.95" customHeight="1" x14ac:dyDescent="0.2">
      <c r="B76" s="1"/>
      <c r="C76" s="4"/>
      <c r="D76" s="2"/>
      <c r="E76" s="3"/>
      <c r="F76" s="3"/>
      <c r="G76" s="3"/>
      <c r="H76" s="3"/>
      <c r="I76" s="3"/>
      <c r="J76" s="3"/>
      <c r="K76" s="3"/>
      <c r="L76" s="567"/>
    </row>
    <row r="77" spans="1:12" ht="3.75" customHeight="1" x14ac:dyDescent="0.2">
      <c r="B77" s="1"/>
      <c r="C77" s="4"/>
      <c r="D77" s="2"/>
      <c r="E77" s="3"/>
      <c r="F77" s="3"/>
      <c r="G77" s="3"/>
      <c r="H77" s="3"/>
      <c r="I77" s="3"/>
      <c r="J77" s="3"/>
      <c r="K77" s="3"/>
      <c r="L77" s="567"/>
    </row>
    <row r="78" spans="1:12" ht="31.5" customHeight="1" x14ac:dyDescent="0.2">
      <c r="B78" s="571" t="s">
        <v>397</v>
      </c>
      <c r="C78" s="572"/>
      <c r="D78" s="572"/>
      <c r="E78" s="572"/>
      <c r="F78" s="572"/>
      <c r="G78" s="647"/>
      <c r="H78" s="647"/>
      <c r="I78" s="647"/>
      <c r="J78" s="59" t="s">
        <v>21</v>
      </c>
      <c r="K78" s="60"/>
      <c r="L78" s="46"/>
    </row>
    <row r="79" spans="1:12" ht="3.95" customHeight="1" x14ac:dyDescent="0.2">
      <c r="B79" s="1"/>
      <c r="C79" s="4"/>
      <c r="D79" s="2"/>
      <c r="E79" s="3"/>
      <c r="F79" s="3"/>
      <c r="G79" s="3"/>
      <c r="H79" s="3"/>
      <c r="I79" s="3"/>
      <c r="J79" s="3"/>
      <c r="K79" s="3"/>
      <c r="L79" s="58"/>
    </row>
    <row r="80" spans="1:12" ht="27" customHeight="1" x14ac:dyDescent="0.2">
      <c r="B80" s="571" t="s">
        <v>64</v>
      </c>
      <c r="C80" s="572"/>
      <c r="D80" s="572"/>
      <c r="E80" s="572"/>
      <c r="F80" s="572"/>
      <c r="G80" s="572"/>
      <c r="H80" s="617"/>
      <c r="I80" s="653"/>
      <c r="J80" s="654"/>
      <c r="K80" s="654"/>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65</v>
      </c>
      <c r="D83" s="61"/>
      <c r="E83" s="3"/>
      <c r="F83" s="3"/>
      <c r="G83" s="3"/>
      <c r="H83" s="3"/>
      <c r="I83" s="3"/>
      <c r="J83" s="3"/>
      <c r="K83" s="3"/>
      <c r="L83" s="58"/>
    </row>
    <row r="84" spans="2:12" ht="18" customHeight="1" x14ac:dyDescent="0.2">
      <c r="B84" s="1"/>
      <c r="C84" s="62" t="s">
        <v>66</v>
      </c>
      <c r="D84" s="638"/>
      <c r="E84" s="466"/>
      <c r="F84" s="466"/>
      <c r="G84" s="466"/>
      <c r="H84" s="466"/>
      <c r="I84" s="466"/>
      <c r="J84" s="466"/>
      <c r="K84" s="467"/>
      <c r="L84" s="46"/>
    </row>
    <row r="85" spans="2:12" ht="3.95" customHeight="1" x14ac:dyDescent="0.2">
      <c r="B85" s="571" t="s">
        <v>198</v>
      </c>
      <c r="C85" s="572"/>
      <c r="D85" s="4"/>
      <c r="E85" s="4"/>
      <c r="F85" s="4"/>
      <c r="G85" s="4"/>
      <c r="H85" s="4"/>
      <c r="I85" s="4"/>
      <c r="J85" s="4"/>
      <c r="K85" s="4"/>
      <c r="L85" s="6"/>
    </row>
    <row r="86" spans="2:12" ht="18" customHeight="1" x14ac:dyDescent="0.2">
      <c r="B86" s="571"/>
      <c r="C86" s="572"/>
      <c r="D86" s="268"/>
      <c r="E86" s="264"/>
      <c r="F86" s="1"/>
      <c r="G86" s="4"/>
      <c r="H86" s="4"/>
      <c r="I86" s="4"/>
      <c r="J86" s="4"/>
      <c r="K86" s="4"/>
      <c r="L86" s="46"/>
    </row>
    <row r="87" spans="2:12" ht="3.95" customHeight="1" x14ac:dyDescent="0.2">
      <c r="B87" s="571"/>
      <c r="C87" s="572"/>
      <c r="D87" s="4"/>
      <c r="E87" s="4"/>
      <c r="F87" s="4"/>
      <c r="G87" s="4"/>
      <c r="H87" s="4"/>
      <c r="I87" s="4"/>
      <c r="J87" s="4"/>
      <c r="K87" s="4"/>
      <c r="L87" s="6"/>
    </row>
    <row r="88" spans="2:12" ht="18" customHeight="1" x14ac:dyDescent="0.2">
      <c r="B88" s="1"/>
      <c r="C88" s="62" t="s">
        <v>67</v>
      </c>
      <c r="D88" s="636"/>
      <c r="E88" s="637"/>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68</v>
      </c>
      <c r="D90" s="638"/>
      <c r="E90" s="466"/>
      <c r="F90" s="466"/>
      <c r="G90" s="466"/>
      <c r="H90" s="466"/>
      <c r="I90" s="466"/>
      <c r="J90" s="466"/>
      <c r="K90" s="467"/>
      <c r="L90" s="46"/>
    </row>
    <row r="91" spans="2:12" ht="3.95" customHeight="1" x14ac:dyDescent="0.2">
      <c r="B91" s="1"/>
      <c r="C91" s="65"/>
      <c r="D91" s="61"/>
      <c r="E91" s="5"/>
      <c r="F91" s="5"/>
      <c r="G91" s="5"/>
      <c r="H91" s="5"/>
      <c r="I91" s="5"/>
      <c r="J91" s="5"/>
      <c r="K91" s="5"/>
      <c r="L91" s="58"/>
    </row>
    <row r="92" spans="2:12" ht="18" customHeight="1" x14ac:dyDescent="0.2">
      <c r="B92" s="1"/>
      <c r="C92" s="62" t="s">
        <v>69</v>
      </c>
      <c r="D92" s="648"/>
      <c r="E92" s="649"/>
      <c r="F92" s="649"/>
      <c r="G92" s="649"/>
      <c r="H92" s="649"/>
      <c r="I92" s="649"/>
      <c r="J92" s="649"/>
      <c r="K92" s="650"/>
      <c r="L92" s="46"/>
    </row>
    <row r="93" spans="2:12" ht="3.95" customHeight="1" x14ac:dyDescent="0.2">
      <c r="B93" s="1"/>
      <c r="C93" s="4"/>
      <c r="D93" s="4"/>
      <c r="E93" s="4"/>
      <c r="F93" s="4"/>
      <c r="G93" s="4"/>
      <c r="H93" s="4"/>
      <c r="I93" s="4"/>
      <c r="J93" s="4"/>
      <c r="K93" s="4"/>
      <c r="L93" s="6"/>
    </row>
    <row r="94" spans="2:12" ht="18" customHeight="1" x14ac:dyDescent="0.2">
      <c r="B94" s="1"/>
      <c r="C94" s="8" t="s">
        <v>70</v>
      </c>
      <c r="D94" s="4"/>
      <c r="E94" s="4"/>
      <c r="F94" s="4"/>
      <c r="G94" s="4"/>
      <c r="H94" s="4"/>
      <c r="I94" s="4"/>
      <c r="J94" s="4"/>
      <c r="K94" s="4"/>
      <c r="L94" s="6"/>
    </row>
    <row r="95" spans="2:12" ht="18" customHeight="1" x14ac:dyDescent="0.2">
      <c r="B95" s="1"/>
      <c r="C95" s="4"/>
      <c r="D95" s="7" t="s">
        <v>71</v>
      </c>
      <c r="E95" s="633" t="s">
        <v>72</v>
      </c>
      <c r="F95" s="633"/>
      <c r="G95" s="633"/>
      <c r="H95" s="633" t="s">
        <v>73</v>
      </c>
      <c r="I95" s="633"/>
      <c r="J95" s="633"/>
      <c r="K95" s="633"/>
      <c r="L95" s="46"/>
    </row>
    <row r="96" spans="2:12" ht="18" customHeight="1" x14ac:dyDescent="0.2">
      <c r="B96" s="1"/>
      <c r="C96" s="62" t="s">
        <v>74</v>
      </c>
      <c r="D96" s="270"/>
      <c r="E96" s="481"/>
      <c r="F96" s="466"/>
      <c r="G96" s="466"/>
      <c r="H96" s="481"/>
      <c r="I96" s="466"/>
      <c r="J96" s="466"/>
      <c r="K96" s="467"/>
      <c r="L96" s="46"/>
    </row>
    <row r="97" spans="2:12" ht="3.95" customHeight="1" x14ac:dyDescent="0.2">
      <c r="B97" s="1"/>
      <c r="C97" s="4"/>
      <c r="D97" s="4"/>
      <c r="E97" s="4"/>
      <c r="F97" s="4"/>
      <c r="G97" s="4"/>
      <c r="H97" s="4"/>
      <c r="I97" s="4"/>
      <c r="J97" s="4"/>
      <c r="K97" s="4"/>
      <c r="L97" s="6"/>
    </row>
    <row r="98" spans="2:12" ht="18" customHeight="1" x14ac:dyDescent="0.2">
      <c r="B98" s="1"/>
      <c r="C98" s="62" t="s">
        <v>75</v>
      </c>
      <c r="D98" s="569"/>
      <c r="E98" s="570"/>
      <c r="F98" s="570"/>
      <c r="G98" s="570"/>
      <c r="H98" s="570"/>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170</v>
      </c>
      <c r="D100" s="569"/>
      <c r="E100" s="570"/>
      <c r="F100" s="570"/>
      <c r="G100" s="570"/>
      <c r="H100" s="570"/>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76</v>
      </c>
      <c r="E102" s="5"/>
      <c r="F102" s="7" t="s">
        <v>77</v>
      </c>
      <c r="H102" s="5"/>
      <c r="I102" s="5"/>
      <c r="J102" s="68"/>
      <c r="K102" s="68"/>
      <c r="L102" s="46"/>
    </row>
    <row r="103" spans="2:12" ht="18" customHeight="1" x14ac:dyDescent="0.2">
      <c r="B103" s="1"/>
      <c r="C103" s="62" t="s">
        <v>78</v>
      </c>
      <c r="D103" s="269" t="s">
        <v>168</v>
      </c>
      <c r="E103" s="634"/>
      <c r="F103" s="635"/>
      <c r="G103" s="635"/>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79</v>
      </c>
      <c r="D105" s="269" t="s">
        <v>168</v>
      </c>
      <c r="E105" s="634"/>
      <c r="F105" s="635"/>
      <c r="G105" s="635"/>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80</v>
      </c>
      <c r="D108" s="4"/>
      <c r="E108" s="4"/>
      <c r="F108" s="4"/>
      <c r="G108" s="4"/>
      <c r="H108" s="4"/>
      <c r="I108" s="4"/>
      <c r="J108" s="4"/>
      <c r="K108" s="4"/>
      <c r="L108" s="6"/>
    </row>
    <row r="109" spans="2:12" ht="18" customHeight="1" x14ac:dyDescent="0.2">
      <c r="B109" s="1"/>
      <c r="C109" s="62" t="s">
        <v>81</v>
      </c>
      <c r="D109" s="638"/>
      <c r="E109" s="466"/>
      <c r="F109" s="466"/>
      <c r="G109" s="466"/>
      <c r="H109" s="466"/>
      <c r="I109" s="466"/>
      <c r="J109" s="466"/>
      <c r="K109" s="467"/>
      <c r="L109" s="46"/>
    </row>
    <row r="110" spans="2:12" ht="3.95" customHeight="1" x14ac:dyDescent="0.2">
      <c r="B110" s="1"/>
      <c r="C110" s="4"/>
      <c r="D110" s="4"/>
      <c r="E110" s="4"/>
      <c r="F110" s="4"/>
      <c r="G110" s="4"/>
      <c r="H110" s="4"/>
      <c r="I110" s="4"/>
      <c r="J110" s="4"/>
      <c r="K110" s="4"/>
      <c r="L110" s="6"/>
    </row>
    <row r="111" spans="2:12" ht="18" customHeight="1" x14ac:dyDescent="0.2">
      <c r="B111" s="1"/>
      <c r="C111" s="62" t="s">
        <v>66</v>
      </c>
      <c r="D111" s="638"/>
      <c r="E111" s="466"/>
      <c r="F111" s="466"/>
      <c r="G111" s="466"/>
      <c r="H111" s="466"/>
      <c r="I111" s="466"/>
      <c r="J111" s="466"/>
      <c r="K111" s="467"/>
      <c r="L111" s="46"/>
    </row>
    <row r="112" spans="2:12" ht="3.95" customHeight="1" x14ac:dyDescent="0.2">
      <c r="B112" s="571" t="s">
        <v>198</v>
      </c>
      <c r="C112" s="572"/>
      <c r="D112" s="4"/>
      <c r="E112" s="4"/>
      <c r="F112" s="4"/>
      <c r="G112" s="4"/>
      <c r="H112" s="4"/>
      <c r="I112" s="4"/>
      <c r="J112" s="4"/>
      <c r="K112" s="4"/>
      <c r="L112" s="6"/>
    </row>
    <row r="113" spans="2:12" ht="18" customHeight="1" x14ac:dyDescent="0.2">
      <c r="B113" s="571"/>
      <c r="C113" s="572"/>
      <c r="D113" s="268"/>
      <c r="E113" s="264"/>
      <c r="F113" s="1"/>
      <c r="G113" s="4"/>
      <c r="H113" s="4"/>
      <c r="I113" s="4"/>
      <c r="J113" s="4"/>
      <c r="K113" s="4"/>
      <c r="L113" s="46"/>
    </row>
    <row r="114" spans="2:12" ht="3.95" customHeight="1" x14ac:dyDescent="0.2">
      <c r="B114" s="571"/>
      <c r="C114" s="572"/>
      <c r="D114" s="4"/>
      <c r="E114" s="4"/>
      <c r="F114" s="4"/>
      <c r="G114" s="4"/>
      <c r="H114" s="4"/>
      <c r="I114" s="4"/>
      <c r="J114" s="4"/>
      <c r="K114" s="4"/>
      <c r="L114" s="6"/>
    </row>
    <row r="115" spans="2:12" ht="18" customHeight="1" x14ac:dyDescent="0.2">
      <c r="B115" s="1"/>
      <c r="C115" s="62" t="s">
        <v>67</v>
      </c>
      <c r="D115" s="636"/>
      <c r="E115" s="637"/>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68</v>
      </c>
      <c r="D117" s="638"/>
      <c r="E117" s="466"/>
      <c r="F117" s="466"/>
      <c r="G117" s="466"/>
      <c r="H117" s="466"/>
      <c r="I117" s="466"/>
      <c r="J117" s="466"/>
      <c r="K117" s="467"/>
      <c r="L117" s="46"/>
    </row>
    <row r="118" spans="2:12" s="4" customFormat="1" ht="3.75" customHeight="1" x14ac:dyDescent="0.2">
      <c r="B118" s="1"/>
      <c r="D118" s="64"/>
      <c r="L118" s="6"/>
    </row>
    <row r="119" spans="2:12" ht="18" customHeight="1" x14ac:dyDescent="0.2">
      <c r="B119" s="69" t="s">
        <v>82</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77"/>
    </row>
    <row r="121" spans="2:12" ht="18" customHeight="1" x14ac:dyDescent="0.2">
      <c r="B121" s="131"/>
      <c r="C121" s="132"/>
      <c r="D121" s="132"/>
      <c r="E121" s="132"/>
      <c r="F121" s="132"/>
      <c r="G121" s="132"/>
      <c r="H121" s="132"/>
      <c r="I121" s="132"/>
      <c r="J121" s="132"/>
      <c r="K121" s="132"/>
      <c r="L121" s="177"/>
    </row>
    <row r="122" spans="2:12" ht="18" customHeight="1" x14ac:dyDescent="0.2">
      <c r="B122" s="131"/>
      <c r="C122" s="132"/>
      <c r="D122" s="132"/>
      <c r="E122" s="132"/>
      <c r="F122" s="132"/>
      <c r="G122" s="132"/>
      <c r="H122" s="132"/>
      <c r="I122" s="132"/>
      <c r="J122" s="132"/>
      <c r="K122" s="132"/>
      <c r="L122" s="177"/>
    </row>
    <row r="123" spans="2:12" ht="18" customHeight="1" x14ac:dyDescent="0.2">
      <c r="B123" s="131"/>
      <c r="C123" s="132"/>
      <c r="D123" s="132"/>
      <c r="E123" s="132"/>
      <c r="F123" s="132"/>
      <c r="G123" s="132"/>
      <c r="H123" s="132"/>
      <c r="I123" s="132"/>
      <c r="J123" s="132"/>
      <c r="K123" s="132"/>
      <c r="L123" s="177"/>
    </row>
    <row r="124" spans="2:12" ht="18" customHeight="1" x14ac:dyDescent="0.2">
      <c r="B124" s="131"/>
      <c r="C124" s="132"/>
      <c r="D124" s="132"/>
      <c r="E124" s="132"/>
      <c r="F124" s="132"/>
      <c r="G124" s="132"/>
      <c r="H124" s="132"/>
      <c r="I124" s="132"/>
      <c r="J124" s="132"/>
      <c r="K124" s="132"/>
      <c r="L124" s="177"/>
    </row>
    <row r="125" spans="2:12" ht="18" customHeight="1" x14ac:dyDescent="0.2">
      <c r="B125" s="131"/>
      <c r="C125" s="132"/>
      <c r="D125" s="132"/>
      <c r="E125" s="132"/>
      <c r="F125" s="132"/>
      <c r="G125" s="132"/>
      <c r="H125" s="132"/>
      <c r="I125" s="132"/>
      <c r="J125" s="132"/>
      <c r="K125" s="132"/>
      <c r="L125" s="177"/>
    </row>
    <row r="126" spans="2:12" ht="18" customHeight="1" x14ac:dyDescent="0.2">
      <c r="B126" s="131"/>
      <c r="C126" s="132"/>
      <c r="D126" s="132"/>
      <c r="E126" s="132"/>
      <c r="F126" s="132"/>
      <c r="G126" s="132"/>
      <c r="H126" s="132"/>
      <c r="I126" s="132"/>
      <c r="J126" s="132"/>
      <c r="K126" s="132"/>
      <c r="L126" s="177"/>
    </row>
    <row r="127" spans="2:12" ht="18" customHeight="1" x14ac:dyDescent="0.2">
      <c r="B127" s="131"/>
      <c r="C127" s="132"/>
      <c r="D127" s="132"/>
      <c r="E127" s="132"/>
      <c r="F127" s="132"/>
      <c r="G127" s="132"/>
      <c r="H127" s="132"/>
      <c r="I127" s="132"/>
      <c r="J127" s="132"/>
      <c r="K127" s="132"/>
      <c r="L127" s="177"/>
    </row>
    <row r="128" spans="2:12" ht="18" customHeight="1" x14ac:dyDescent="0.2">
      <c r="B128" s="131"/>
      <c r="C128" s="132"/>
      <c r="D128" s="132"/>
      <c r="E128" s="132"/>
      <c r="F128" s="132"/>
      <c r="G128" s="132"/>
      <c r="H128" s="132"/>
      <c r="I128" s="132"/>
      <c r="J128" s="132"/>
      <c r="K128" s="132"/>
      <c r="L128" s="177"/>
    </row>
    <row r="129" spans="2:12" ht="18" customHeight="1" x14ac:dyDescent="0.2">
      <c r="B129" s="131"/>
      <c r="C129" s="132"/>
      <c r="D129" s="132"/>
      <c r="E129" s="132"/>
      <c r="F129" s="132"/>
      <c r="G129" s="132"/>
      <c r="H129" s="132"/>
      <c r="I129" s="132"/>
      <c r="J129" s="132"/>
      <c r="K129" s="132"/>
      <c r="L129" s="177"/>
    </row>
    <row r="130" spans="2:12" ht="18" customHeight="1" x14ac:dyDescent="0.2">
      <c r="B130" s="131"/>
      <c r="C130" s="132"/>
      <c r="D130" s="132"/>
      <c r="E130" s="132"/>
      <c r="F130" s="132"/>
      <c r="G130" s="132"/>
      <c r="H130" s="132"/>
      <c r="I130" s="132"/>
      <c r="J130" s="132"/>
      <c r="K130" s="132"/>
      <c r="L130" s="177"/>
    </row>
    <row r="131" spans="2:12" ht="18" customHeight="1" x14ac:dyDescent="0.2">
      <c r="B131" s="131"/>
      <c r="C131" s="132"/>
      <c r="D131" s="132"/>
      <c r="E131" s="132"/>
      <c r="F131" s="132"/>
      <c r="G131" s="132"/>
      <c r="H131" s="132"/>
      <c r="I131" s="132"/>
      <c r="J131" s="132"/>
      <c r="K131" s="132"/>
      <c r="L131" s="177"/>
    </row>
    <row r="132" spans="2:12" ht="18" customHeight="1" x14ac:dyDescent="0.2">
      <c r="B132" s="131"/>
      <c r="C132" s="132"/>
      <c r="D132" s="132"/>
      <c r="E132" s="132"/>
      <c r="F132" s="132"/>
      <c r="G132" s="132"/>
      <c r="H132" s="132"/>
      <c r="I132" s="132"/>
      <c r="J132" s="132"/>
      <c r="K132" s="132"/>
      <c r="L132" s="177"/>
    </row>
    <row r="133" spans="2:12" ht="18" customHeight="1" x14ac:dyDescent="0.2">
      <c r="B133" s="131"/>
      <c r="C133" s="132"/>
      <c r="D133" s="132"/>
      <c r="E133" s="132"/>
      <c r="F133" s="132"/>
      <c r="G133" s="132"/>
      <c r="H133" s="132"/>
      <c r="I133" s="132"/>
      <c r="J133" s="132"/>
      <c r="K133" s="132"/>
      <c r="L133" s="177"/>
    </row>
    <row r="134" spans="2:12" ht="18" customHeight="1" x14ac:dyDescent="0.2">
      <c r="B134" s="131"/>
      <c r="C134" s="132"/>
      <c r="D134" s="132"/>
      <c r="E134" s="132"/>
      <c r="F134" s="132"/>
      <c r="G134" s="132"/>
      <c r="H134" s="132"/>
      <c r="I134" s="132"/>
      <c r="J134" s="132"/>
      <c r="K134" s="132"/>
      <c r="L134" s="177"/>
    </row>
    <row r="135" spans="2:12" ht="18" customHeight="1" x14ac:dyDescent="0.2">
      <c r="B135" s="131"/>
      <c r="C135" s="132"/>
      <c r="D135" s="132"/>
      <c r="E135" s="132"/>
      <c r="F135" s="132"/>
      <c r="G135" s="132"/>
      <c r="H135" s="132"/>
      <c r="I135" s="132"/>
      <c r="J135" s="132"/>
      <c r="K135" s="132"/>
      <c r="L135" s="177"/>
    </row>
    <row r="136" spans="2:12" ht="18" customHeight="1" x14ac:dyDescent="0.2">
      <c r="B136" s="131"/>
      <c r="C136" s="132"/>
      <c r="D136" s="132"/>
      <c r="E136" s="132"/>
      <c r="F136" s="132"/>
      <c r="G136" s="132"/>
      <c r="H136" s="132"/>
      <c r="I136" s="132"/>
      <c r="J136" s="132"/>
      <c r="K136" s="132"/>
      <c r="L136" s="177"/>
    </row>
    <row r="137" spans="2:12" ht="18" customHeight="1" x14ac:dyDescent="0.2">
      <c r="B137" s="131"/>
      <c r="C137" s="132"/>
      <c r="D137" s="132"/>
      <c r="E137" s="132"/>
      <c r="F137" s="132"/>
      <c r="G137" s="132"/>
      <c r="H137" s="132"/>
      <c r="I137" s="132"/>
      <c r="J137" s="132"/>
      <c r="K137" s="132"/>
      <c r="L137" s="177"/>
    </row>
    <row r="138" spans="2:12" ht="18" customHeight="1" x14ac:dyDescent="0.2">
      <c r="B138" s="131"/>
      <c r="C138" s="132"/>
      <c r="D138" s="132"/>
      <c r="E138" s="132"/>
      <c r="F138" s="132"/>
      <c r="G138" s="132"/>
      <c r="H138" s="132"/>
      <c r="I138" s="132"/>
      <c r="J138" s="132"/>
      <c r="K138" s="132"/>
      <c r="L138" s="177"/>
    </row>
    <row r="139" spans="2:12" ht="18" customHeight="1" x14ac:dyDescent="0.2">
      <c r="B139" s="131"/>
      <c r="C139" s="132"/>
      <c r="D139" s="132"/>
      <c r="E139" s="132"/>
      <c r="F139" s="132"/>
      <c r="G139" s="132"/>
      <c r="H139" s="132"/>
      <c r="I139" s="132"/>
      <c r="J139" s="132"/>
      <c r="K139" s="132"/>
      <c r="L139" s="177"/>
    </row>
    <row r="140" spans="2:12" ht="18" customHeight="1" x14ac:dyDescent="0.2">
      <c r="B140" s="131"/>
      <c r="C140" s="132"/>
      <c r="D140" s="132"/>
      <c r="E140" s="132"/>
      <c r="F140" s="132"/>
      <c r="G140" s="132"/>
      <c r="H140" s="132"/>
      <c r="I140" s="132"/>
      <c r="J140" s="132"/>
      <c r="K140" s="132"/>
      <c r="L140" s="177"/>
    </row>
    <row r="141" spans="2:12" ht="18" customHeight="1" x14ac:dyDescent="0.2">
      <c r="B141" s="131"/>
      <c r="C141" s="132"/>
      <c r="D141" s="132"/>
      <c r="E141" s="132"/>
      <c r="F141" s="132"/>
      <c r="G141" s="132"/>
      <c r="H141" s="132"/>
      <c r="I141" s="132"/>
      <c r="J141" s="132"/>
      <c r="K141" s="132"/>
      <c r="L141" s="177"/>
    </row>
    <row r="142" spans="2:12" ht="18" customHeight="1" x14ac:dyDescent="0.2">
      <c r="B142" s="131"/>
      <c r="C142" s="132"/>
      <c r="D142" s="132"/>
      <c r="E142" s="132"/>
      <c r="F142" s="132"/>
      <c r="G142" s="132"/>
      <c r="H142" s="132"/>
      <c r="I142" s="132"/>
      <c r="J142" s="132"/>
      <c r="K142" s="132"/>
      <c r="L142" s="177"/>
    </row>
    <row r="143" spans="2:12" ht="18" customHeight="1" x14ac:dyDescent="0.2">
      <c r="B143" s="131"/>
      <c r="C143" s="132"/>
      <c r="D143" s="132"/>
      <c r="E143" s="132"/>
      <c r="F143" s="132"/>
      <c r="G143" s="132"/>
      <c r="H143" s="132"/>
      <c r="I143" s="132"/>
      <c r="J143" s="132"/>
      <c r="K143" s="132"/>
      <c r="L143" s="177"/>
    </row>
    <row r="144" spans="2:12" ht="18" customHeight="1" x14ac:dyDescent="0.2">
      <c r="B144" s="131"/>
      <c r="C144" s="132"/>
      <c r="D144" s="132"/>
      <c r="E144" s="132"/>
      <c r="F144" s="132"/>
      <c r="G144" s="132"/>
      <c r="H144" s="132"/>
      <c r="I144" s="132"/>
      <c r="J144" s="132"/>
      <c r="K144" s="132"/>
      <c r="L144" s="177"/>
    </row>
    <row r="145" spans="2:12" ht="18" customHeight="1" x14ac:dyDescent="0.2">
      <c r="B145" s="131"/>
      <c r="C145" s="132"/>
      <c r="D145" s="132"/>
      <c r="E145" s="132"/>
      <c r="F145" s="132"/>
      <c r="G145" s="132"/>
      <c r="H145" s="132"/>
      <c r="I145" s="132"/>
      <c r="J145" s="132"/>
      <c r="K145" s="132"/>
      <c r="L145" s="177"/>
    </row>
    <row r="146" spans="2:12" ht="18" customHeight="1" x14ac:dyDescent="0.2">
      <c r="B146" s="131"/>
      <c r="C146" s="132"/>
      <c r="D146" s="132"/>
      <c r="E146" s="132"/>
      <c r="F146" s="132"/>
      <c r="G146" s="132"/>
      <c r="H146" s="132"/>
      <c r="I146" s="132"/>
      <c r="J146" s="132"/>
      <c r="K146" s="132"/>
      <c r="L146" s="177"/>
    </row>
    <row r="147" spans="2:12" ht="18" customHeight="1" x14ac:dyDescent="0.2">
      <c r="B147" s="131"/>
      <c r="C147" s="132"/>
      <c r="D147" s="132"/>
      <c r="E147" s="132"/>
      <c r="F147" s="132"/>
      <c r="G147" s="132"/>
      <c r="H147" s="132"/>
      <c r="I147" s="132"/>
      <c r="J147" s="132"/>
      <c r="K147" s="132"/>
      <c r="L147" s="177"/>
    </row>
    <row r="148" spans="2:12" ht="18" customHeight="1" x14ac:dyDescent="0.2">
      <c r="B148" s="131"/>
      <c r="C148" s="132"/>
      <c r="D148" s="132"/>
      <c r="E148" s="132"/>
      <c r="F148" s="132"/>
      <c r="G148" s="132"/>
      <c r="H148" s="132"/>
      <c r="I148" s="132"/>
      <c r="J148" s="132"/>
      <c r="K148" s="132"/>
      <c r="L148" s="177"/>
    </row>
    <row r="149" spans="2:12" ht="18" customHeight="1" x14ac:dyDescent="0.2">
      <c r="B149" s="131"/>
      <c r="C149" s="132"/>
      <c r="D149" s="132"/>
      <c r="E149" s="132"/>
      <c r="F149" s="132"/>
      <c r="G149" s="132"/>
      <c r="H149" s="132"/>
      <c r="I149" s="132"/>
      <c r="J149" s="132"/>
      <c r="K149" s="132"/>
      <c r="L149" s="177"/>
    </row>
    <row r="150" spans="2:12" ht="18" customHeight="1" x14ac:dyDescent="0.2">
      <c r="B150" s="131"/>
      <c r="C150" s="132"/>
      <c r="D150" s="132"/>
      <c r="E150" s="132"/>
      <c r="F150" s="132"/>
      <c r="G150" s="132"/>
      <c r="H150" s="132"/>
      <c r="I150" s="132"/>
      <c r="J150" s="132"/>
      <c r="K150" s="132"/>
      <c r="L150" s="177"/>
    </row>
    <row r="151" spans="2:12" ht="18" customHeight="1" x14ac:dyDescent="0.2">
      <c r="B151" s="131"/>
      <c r="C151" s="132"/>
      <c r="D151" s="132"/>
      <c r="E151" s="132"/>
      <c r="F151" s="132"/>
      <c r="G151" s="132"/>
      <c r="H151" s="132"/>
      <c r="I151" s="132"/>
      <c r="J151" s="132"/>
      <c r="K151" s="132"/>
      <c r="L151" s="177"/>
    </row>
    <row r="152" spans="2:12" ht="18" customHeight="1" x14ac:dyDescent="0.2">
      <c r="B152" s="131"/>
      <c r="C152" s="132"/>
      <c r="D152" s="132"/>
      <c r="E152" s="132"/>
      <c r="F152" s="132"/>
      <c r="G152" s="132"/>
      <c r="H152" s="132"/>
      <c r="I152" s="132"/>
      <c r="J152" s="132"/>
      <c r="K152" s="132"/>
      <c r="L152" s="177"/>
    </row>
    <row r="153" spans="2:12" ht="18" customHeight="1" x14ac:dyDescent="0.2">
      <c r="B153" s="131"/>
      <c r="C153" s="132"/>
      <c r="D153" s="132"/>
      <c r="E153" s="132"/>
      <c r="F153" s="132"/>
      <c r="G153" s="132"/>
      <c r="H153" s="132"/>
      <c r="I153" s="132"/>
      <c r="J153" s="132"/>
      <c r="K153" s="132"/>
      <c r="L153" s="177"/>
    </row>
    <row r="154" spans="2:12" ht="18" customHeight="1" x14ac:dyDescent="0.2">
      <c r="B154" s="131"/>
      <c r="C154" s="132"/>
      <c r="D154" s="132"/>
      <c r="E154" s="132"/>
      <c r="F154" s="132"/>
      <c r="G154" s="132"/>
      <c r="H154" s="132"/>
      <c r="I154" s="132"/>
      <c r="J154" s="132"/>
      <c r="K154" s="132"/>
      <c r="L154" s="177"/>
    </row>
    <row r="155" spans="2:12" ht="18" customHeight="1" x14ac:dyDescent="0.2">
      <c r="B155" s="131"/>
      <c r="C155" s="132"/>
      <c r="D155" s="132"/>
      <c r="E155" s="132"/>
      <c r="F155" s="132"/>
      <c r="G155" s="132"/>
      <c r="H155" s="132"/>
      <c r="I155" s="132"/>
      <c r="J155" s="132"/>
      <c r="K155" s="132"/>
      <c r="L155" s="177"/>
    </row>
    <row r="156" spans="2:12" ht="18" customHeight="1" x14ac:dyDescent="0.2">
      <c r="B156" s="172"/>
      <c r="C156" s="173"/>
      <c r="D156" s="173"/>
      <c r="E156" s="173"/>
      <c r="F156" s="173"/>
      <c r="G156" s="173"/>
      <c r="H156" s="173"/>
      <c r="I156" s="173"/>
      <c r="J156" s="173"/>
      <c r="K156" s="173"/>
      <c r="L156" s="174"/>
    </row>
    <row r="157" spans="2:12" ht="3.95" customHeight="1" x14ac:dyDescent="0.2"/>
    <row r="158" spans="2:12" ht="18" customHeight="1" x14ac:dyDescent="0.2">
      <c r="B158" s="24" t="s">
        <v>83</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84</v>
      </c>
      <c r="D160" s="519"/>
      <c r="E160" s="520"/>
      <c r="F160" s="520"/>
      <c r="G160" s="520"/>
      <c r="H160" s="520"/>
      <c r="I160" s="520"/>
      <c r="J160" s="520"/>
      <c r="K160" s="521"/>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85</v>
      </c>
    </row>
    <row r="164" spans="2:12" ht="18" customHeight="1" x14ac:dyDescent="0.2">
      <c r="B164" s="24" t="s">
        <v>86</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77"/>
    </row>
    <row r="166" spans="2:12" ht="18" customHeight="1" x14ac:dyDescent="0.2">
      <c r="B166" s="131"/>
      <c r="C166" s="132"/>
      <c r="D166" s="72"/>
      <c r="E166" s="132"/>
      <c r="F166" s="132"/>
      <c r="G166" s="132"/>
      <c r="H166" s="132"/>
      <c r="I166" s="132"/>
      <c r="J166" s="132"/>
      <c r="K166" s="132"/>
      <c r="L166" s="177"/>
    </row>
    <row r="167" spans="2:12" ht="18" customHeight="1" x14ac:dyDescent="0.2">
      <c r="B167" s="131"/>
      <c r="C167" s="132"/>
      <c r="D167" s="72"/>
      <c r="E167" s="132"/>
      <c r="F167" s="132"/>
      <c r="G167" s="132"/>
      <c r="H167" s="132"/>
      <c r="I167" s="132"/>
      <c r="J167" s="132"/>
      <c r="K167" s="132"/>
      <c r="L167" s="177"/>
    </row>
    <row r="168" spans="2:12" ht="18" customHeight="1" x14ac:dyDescent="0.2">
      <c r="B168" s="131"/>
      <c r="C168" s="132"/>
      <c r="D168" s="72"/>
      <c r="E168" s="132"/>
      <c r="F168" s="132"/>
      <c r="G168" s="132"/>
      <c r="H168" s="132"/>
      <c r="I168" s="132"/>
      <c r="J168" s="132"/>
      <c r="K168" s="132"/>
      <c r="L168" s="177"/>
    </row>
    <row r="169" spans="2:12" ht="18" customHeight="1" x14ac:dyDescent="0.2">
      <c r="B169" s="131"/>
      <c r="C169" s="132"/>
      <c r="D169" s="72"/>
      <c r="E169" s="132"/>
      <c r="F169" s="132"/>
      <c r="G169" s="132"/>
      <c r="H169" s="132"/>
      <c r="I169" s="132"/>
      <c r="J169" s="132"/>
      <c r="K169" s="132"/>
      <c r="L169" s="177"/>
    </row>
    <row r="170" spans="2:12" ht="18" customHeight="1" x14ac:dyDescent="0.2">
      <c r="B170" s="131"/>
      <c r="C170" s="132"/>
      <c r="D170" s="72"/>
      <c r="E170" s="132"/>
      <c r="F170" s="132"/>
      <c r="G170" s="132"/>
      <c r="H170" s="132"/>
      <c r="I170" s="132"/>
      <c r="J170" s="132"/>
      <c r="K170" s="132"/>
      <c r="L170" s="177"/>
    </row>
    <row r="171" spans="2:12" ht="18" customHeight="1" x14ac:dyDescent="0.2">
      <c r="B171" s="131"/>
      <c r="C171" s="132"/>
      <c r="D171" s="72"/>
      <c r="E171" s="132"/>
      <c r="F171" s="132"/>
      <c r="G171" s="132"/>
      <c r="H171" s="132"/>
      <c r="I171" s="132"/>
      <c r="J171" s="132"/>
      <c r="K171" s="132"/>
      <c r="L171" s="177"/>
    </row>
    <row r="172" spans="2:12" ht="18" customHeight="1" x14ac:dyDescent="0.2">
      <c r="B172" s="131"/>
      <c r="C172" s="132"/>
      <c r="D172" s="72"/>
      <c r="E172" s="132"/>
      <c r="F172" s="132"/>
      <c r="G172" s="132"/>
      <c r="H172" s="132"/>
      <c r="I172" s="132"/>
      <c r="J172" s="132"/>
      <c r="K172" s="132"/>
      <c r="L172" s="177"/>
    </row>
    <row r="173" spans="2:12" ht="18" customHeight="1" x14ac:dyDescent="0.2">
      <c r="B173" s="131"/>
      <c r="C173" s="132"/>
      <c r="D173" s="72"/>
      <c r="E173" s="132"/>
      <c r="F173" s="132"/>
      <c r="G173" s="132"/>
      <c r="H173" s="132"/>
      <c r="I173" s="132"/>
      <c r="J173" s="132"/>
      <c r="K173" s="132"/>
      <c r="L173" s="177"/>
    </row>
    <row r="174" spans="2:12" ht="18" customHeight="1" x14ac:dyDescent="0.2">
      <c r="B174" s="131"/>
      <c r="C174" s="132"/>
      <c r="D174" s="72"/>
      <c r="E174" s="132"/>
      <c r="F174" s="132"/>
      <c r="G174" s="132"/>
      <c r="H174" s="132"/>
      <c r="I174" s="132"/>
      <c r="J174" s="132"/>
      <c r="K174" s="132"/>
      <c r="L174" s="177"/>
    </row>
    <row r="175" spans="2:12" ht="18" customHeight="1" x14ac:dyDescent="0.2">
      <c r="B175" s="131"/>
      <c r="C175" s="132"/>
      <c r="D175" s="72"/>
      <c r="E175" s="132"/>
      <c r="F175" s="132"/>
      <c r="G175" s="132"/>
      <c r="H175" s="132"/>
      <c r="I175" s="132"/>
      <c r="J175" s="132"/>
      <c r="K175" s="132"/>
      <c r="L175" s="177"/>
    </row>
    <row r="176" spans="2:12" ht="18" customHeight="1" x14ac:dyDescent="0.2">
      <c r="B176" s="131"/>
      <c r="C176" s="132"/>
      <c r="D176" s="72"/>
      <c r="E176" s="132"/>
      <c r="F176" s="132"/>
      <c r="G176" s="132"/>
      <c r="H176" s="132"/>
      <c r="I176" s="132"/>
      <c r="J176" s="132"/>
      <c r="K176" s="132"/>
      <c r="L176" s="177"/>
    </row>
    <row r="177" spans="2:12" ht="18" customHeight="1" x14ac:dyDescent="0.2">
      <c r="B177" s="131"/>
      <c r="C177" s="132"/>
      <c r="D177" s="72"/>
      <c r="E177" s="132"/>
      <c r="F177" s="132"/>
      <c r="G177" s="132"/>
      <c r="H177" s="132"/>
      <c r="I177" s="132"/>
      <c r="J177" s="132"/>
      <c r="K177" s="132"/>
      <c r="L177" s="177"/>
    </row>
    <row r="178" spans="2:12" ht="18" customHeight="1" x14ac:dyDescent="0.2">
      <c r="B178" s="131"/>
      <c r="C178" s="132"/>
      <c r="D178" s="72"/>
      <c r="E178" s="132"/>
      <c r="F178" s="132"/>
      <c r="G178" s="132"/>
      <c r="H178" s="132"/>
      <c r="I178" s="132"/>
      <c r="J178" s="132"/>
      <c r="K178" s="132"/>
      <c r="L178" s="177"/>
    </row>
    <row r="179" spans="2:12" ht="18" customHeight="1" x14ac:dyDescent="0.2">
      <c r="B179" s="131"/>
      <c r="C179" s="132"/>
      <c r="D179" s="72"/>
      <c r="E179" s="132"/>
      <c r="F179" s="132"/>
      <c r="G179" s="132"/>
      <c r="H179" s="132"/>
      <c r="I179" s="132"/>
      <c r="J179" s="132"/>
      <c r="K179" s="132"/>
      <c r="L179" s="177"/>
    </row>
    <row r="180" spans="2:12" ht="18" customHeight="1" x14ac:dyDescent="0.2">
      <c r="B180" s="131"/>
      <c r="C180" s="132"/>
      <c r="D180" s="72"/>
      <c r="E180" s="132"/>
      <c r="F180" s="132"/>
      <c r="G180" s="132"/>
      <c r="H180" s="132"/>
      <c r="I180" s="132"/>
      <c r="J180" s="132"/>
      <c r="K180" s="132"/>
      <c r="L180" s="177"/>
    </row>
    <row r="181" spans="2:12" ht="18" customHeight="1" x14ac:dyDescent="0.2">
      <c r="B181" s="131"/>
      <c r="C181" s="132"/>
      <c r="D181" s="72"/>
      <c r="E181" s="132"/>
      <c r="F181" s="132"/>
      <c r="G181" s="132"/>
      <c r="H181" s="132"/>
      <c r="I181" s="132"/>
      <c r="J181" s="132"/>
      <c r="K181" s="132"/>
      <c r="L181" s="177"/>
    </row>
    <row r="182" spans="2:12" ht="18" customHeight="1" x14ac:dyDescent="0.2">
      <c r="B182" s="131"/>
      <c r="C182" s="132"/>
      <c r="D182" s="72"/>
      <c r="E182" s="132"/>
      <c r="F182" s="132"/>
      <c r="G182" s="132"/>
      <c r="H182" s="132"/>
      <c r="I182" s="132"/>
      <c r="J182" s="132"/>
      <c r="K182" s="132"/>
      <c r="L182" s="177"/>
    </row>
    <row r="183" spans="2:12" ht="18" customHeight="1" x14ac:dyDescent="0.2">
      <c r="B183" s="131"/>
      <c r="C183" s="132"/>
      <c r="D183" s="72"/>
      <c r="E183" s="132"/>
      <c r="F183" s="132"/>
      <c r="G183" s="132"/>
      <c r="H183" s="132"/>
      <c r="I183" s="132"/>
      <c r="J183" s="132"/>
      <c r="K183" s="132"/>
      <c r="L183" s="177"/>
    </row>
    <row r="184" spans="2:12" ht="18" customHeight="1" x14ac:dyDescent="0.2">
      <c r="B184" s="131"/>
      <c r="C184" s="132"/>
      <c r="D184" s="72"/>
      <c r="E184" s="132"/>
      <c r="F184" s="132"/>
      <c r="G184" s="132"/>
      <c r="H184" s="132"/>
      <c r="I184" s="132"/>
      <c r="J184" s="132"/>
      <c r="K184" s="132"/>
      <c r="L184" s="177"/>
    </row>
    <row r="185" spans="2:12" ht="18" customHeight="1" x14ac:dyDescent="0.2">
      <c r="B185" s="131"/>
      <c r="C185" s="132"/>
      <c r="D185" s="72"/>
      <c r="E185" s="132"/>
      <c r="F185" s="132"/>
      <c r="G185" s="132"/>
      <c r="H185" s="132"/>
      <c r="I185" s="132"/>
      <c r="J185" s="132"/>
      <c r="K185" s="132"/>
      <c r="L185" s="177"/>
    </row>
    <row r="186" spans="2:12" ht="18" customHeight="1" x14ac:dyDescent="0.2">
      <c r="B186" s="131"/>
      <c r="C186" s="132"/>
      <c r="D186" s="72"/>
      <c r="E186" s="132"/>
      <c r="F186" s="132"/>
      <c r="G186" s="132"/>
      <c r="H186" s="132"/>
      <c r="I186" s="132"/>
      <c r="J186" s="132"/>
      <c r="K186" s="132"/>
      <c r="L186" s="177"/>
    </row>
    <row r="187" spans="2:12" ht="18" customHeight="1" x14ac:dyDescent="0.2">
      <c r="B187" s="131"/>
      <c r="C187" s="132"/>
      <c r="D187" s="72"/>
      <c r="E187" s="132"/>
      <c r="F187" s="132"/>
      <c r="G187" s="132"/>
      <c r="H187" s="132"/>
      <c r="I187" s="132"/>
      <c r="J187" s="132"/>
      <c r="K187" s="132"/>
      <c r="L187" s="177"/>
    </row>
    <row r="188" spans="2:12" ht="18" customHeight="1" x14ac:dyDescent="0.2">
      <c r="B188" s="131"/>
      <c r="C188" s="132"/>
      <c r="D188" s="72"/>
      <c r="E188" s="132"/>
      <c r="F188" s="132"/>
      <c r="G188" s="132"/>
      <c r="H188" s="132"/>
      <c r="I188" s="132"/>
      <c r="J188" s="132"/>
      <c r="K188" s="132"/>
      <c r="L188" s="177"/>
    </row>
    <row r="189" spans="2:12" ht="18" customHeight="1" x14ac:dyDescent="0.2">
      <c r="B189" s="131"/>
      <c r="C189" s="132"/>
      <c r="D189" s="72"/>
      <c r="E189" s="132"/>
      <c r="F189" s="132"/>
      <c r="G189" s="132"/>
      <c r="H189" s="132"/>
      <c r="I189" s="132"/>
      <c r="J189" s="132"/>
      <c r="K189" s="132"/>
      <c r="L189" s="177"/>
    </row>
    <row r="190" spans="2:12" ht="18" customHeight="1" x14ac:dyDescent="0.2">
      <c r="B190" s="131"/>
      <c r="C190" s="132"/>
      <c r="D190" s="72"/>
      <c r="E190" s="132"/>
      <c r="F190" s="132"/>
      <c r="G190" s="132"/>
      <c r="H190" s="132"/>
      <c r="I190" s="132"/>
      <c r="J190" s="132"/>
      <c r="K190" s="132"/>
      <c r="L190" s="177"/>
    </row>
    <row r="191" spans="2:12" ht="18" customHeight="1" x14ac:dyDescent="0.2">
      <c r="B191" s="131"/>
      <c r="C191" s="132"/>
      <c r="D191" s="72"/>
      <c r="E191" s="132"/>
      <c r="F191" s="132"/>
      <c r="G191" s="132"/>
      <c r="H191" s="132"/>
      <c r="I191" s="132"/>
      <c r="J191" s="132"/>
      <c r="K191" s="132"/>
      <c r="L191" s="177"/>
    </row>
    <row r="192" spans="2:12" ht="18" customHeight="1" x14ac:dyDescent="0.2">
      <c r="B192" s="131"/>
      <c r="C192" s="132"/>
      <c r="D192" s="72"/>
      <c r="E192" s="132"/>
      <c r="F192" s="132"/>
      <c r="G192" s="132"/>
      <c r="H192" s="132"/>
      <c r="I192" s="132"/>
      <c r="J192" s="132"/>
      <c r="K192" s="132"/>
      <c r="L192" s="177"/>
    </row>
    <row r="193" spans="2:12" ht="18" customHeight="1" x14ac:dyDescent="0.2">
      <c r="B193" s="131"/>
      <c r="C193" s="132"/>
      <c r="D193" s="72"/>
      <c r="E193" s="132"/>
      <c r="F193" s="132"/>
      <c r="G193" s="132"/>
      <c r="H193" s="132"/>
      <c r="I193" s="132"/>
      <c r="J193" s="132"/>
      <c r="K193" s="132"/>
      <c r="L193" s="177"/>
    </row>
    <row r="194" spans="2:12" ht="18" customHeight="1" x14ac:dyDescent="0.2">
      <c r="B194" s="131"/>
      <c r="C194" s="132"/>
      <c r="D194" s="72"/>
      <c r="E194" s="132"/>
      <c r="F194" s="132"/>
      <c r="G194" s="132"/>
      <c r="H194" s="132"/>
      <c r="I194" s="132"/>
      <c r="J194" s="132"/>
      <c r="K194" s="132"/>
      <c r="L194" s="177"/>
    </row>
    <row r="195" spans="2:12" ht="18" customHeight="1" x14ac:dyDescent="0.2">
      <c r="B195" s="131"/>
      <c r="C195" s="132"/>
      <c r="D195" s="72"/>
      <c r="E195" s="132"/>
      <c r="F195" s="132"/>
      <c r="G195" s="132"/>
      <c r="H195" s="132"/>
      <c r="I195" s="132"/>
      <c r="J195" s="132"/>
      <c r="K195" s="132"/>
      <c r="L195" s="177"/>
    </row>
    <row r="196" spans="2:12" ht="18" customHeight="1" x14ac:dyDescent="0.2">
      <c r="B196" s="131"/>
      <c r="C196" s="132"/>
      <c r="D196" s="72"/>
      <c r="E196" s="132"/>
      <c r="F196" s="132"/>
      <c r="G196" s="132"/>
      <c r="H196" s="132"/>
      <c r="I196" s="132"/>
      <c r="J196" s="132"/>
      <c r="K196" s="132"/>
      <c r="L196" s="177"/>
    </row>
    <row r="197" spans="2:12" ht="18" customHeight="1" x14ac:dyDescent="0.2">
      <c r="B197" s="131"/>
      <c r="C197" s="132"/>
      <c r="D197" s="72"/>
      <c r="E197" s="132"/>
      <c r="F197" s="132"/>
      <c r="G197" s="132"/>
      <c r="H197" s="132"/>
      <c r="I197" s="132"/>
      <c r="J197" s="132"/>
      <c r="K197" s="132"/>
      <c r="L197" s="177"/>
    </row>
    <row r="198" spans="2:12" ht="18" customHeight="1" x14ac:dyDescent="0.2">
      <c r="B198" s="131"/>
      <c r="C198" s="132"/>
      <c r="D198" s="72"/>
      <c r="E198" s="132"/>
      <c r="F198" s="132"/>
      <c r="G198" s="132"/>
      <c r="H198" s="132"/>
      <c r="I198" s="132"/>
      <c r="J198" s="132"/>
      <c r="K198" s="132"/>
      <c r="L198" s="177"/>
    </row>
    <row r="199" spans="2:12" ht="18" customHeight="1" x14ac:dyDescent="0.2">
      <c r="B199" s="131"/>
      <c r="C199" s="132"/>
      <c r="D199" s="72"/>
      <c r="E199" s="132"/>
      <c r="F199" s="132"/>
      <c r="G199" s="132"/>
      <c r="H199" s="132"/>
      <c r="I199" s="132"/>
      <c r="J199" s="132"/>
      <c r="K199" s="132"/>
      <c r="L199" s="177"/>
    </row>
    <row r="200" spans="2:12" ht="18" customHeight="1" x14ac:dyDescent="0.2">
      <c r="B200" s="131"/>
      <c r="C200" s="132"/>
      <c r="D200" s="72"/>
      <c r="E200" s="132"/>
      <c r="F200" s="132"/>
      <c r="G200" s="132"/>
      <c r="H200" s="132"/>
      <c r="I200" s="132"/>
      <c r="J200" s="132"/>
      <c r="K200" s="132"/>
      <c r="L200" s="177"/>
    </row>
    <row r="201" spans="2:12" ht="18" customHeight="1" x14ac:dyDescent="0.2">
      <c r="B201" s="131"/>
      <c r="C201" s="132"/>
      <c r="D201" s="72"/>
      <c r="E201" s="132"/>
      <c r="F201" s="132"/>
      <c r="G201" s="132"/>
      <c r="H201" s="132"/>
      <c r="I201" s="132"/>
      <c r="J201" s="132"/>
      <c r="K201" s="132"/>
      <c r="L201" s="177"/>
    </row>
    <row r="202" spans="2:12" ht="18" customHeight="1" x14ac:dyDescent="0.2">
      <c r="B202" s="131"/>
      <c r="C202" s="132"/>
      <c r="D202" s="72"/>
      <c r="E202" s="132"/>
      <c r="F202" s="132"/>
      <c r="G202" s="132"/>
      <c r="H202" s="132"/>
      <c r="I202" s="132"/>
      <c r="J202" s="132"/>
      <c r="K202" s="132"/>
      <c r="L202" s="177"/>
    </row>
    <row r="203" spans="2:12" ht="18" customHeight="1" x14ac:dyDescent="0.2">
      <c r="B203" s="131"/>
      <c r="C203" s="132"/>
      <c r="D203" s="72"/>
      <c r="E203" s="132"/>
      <c r="F203" s="132"/>
      <c r="G203" s="132"/>
      <c r="H203" s="132"/>
      <c r="I203" s="132"/>
      <c r="J203" s="132"/>
      <c r="K203" s="132"/>
      <c r="L203" s="177"/>
    </row>
    <row r="204" spans="2:12" ht="18" customHeight="1" x14ac:dyDescent="0.2">
      <c r="B204" s="131"/>
      <c r="C204" s="132"/>
      <c r="D204" s="72"/>
      <c r="E204" s="132"/>
      <c r="F204" s="132"/>
      <c r="G204" s="132"/>
      <c r="H204" s="132"/>
      <c r="I204" s="132"/>
      <c r="J204" s="132"/>
      <c r="K204" s="132"/>
      <c r="L204" s="177"/>
    </row>
    <row r="205" spans="2:12" ht="18" customHeight="1" x14ac:dyDescent="0.2">
      <c r="B205" s="131"/>
      <c r="C205" s="132"/>
      <c r="D205" s="72"/>
      <c r="E205" s="132"/>
      <c r="F205" s="132"/>
      <c r="G205" s="132"/>
      <c r="H205" s="132"/>
      <c r="I205" s="132"/>
      <c r="J205" s="132"/>
      <c r="K205" s="132"/>
      <c r="L205" s="177"/>
    </row>
    <row r="206" spans="2:12" ht="18" customHeight="1" x14ac:dyDescent="0.2">
      <c r="B206" s="131"/>
      <c r="C206" s="132"/>
      <c r="D206" s="72"/>
      <c r="E206" s="132"/>
      <c r="F206" s="132"/>
      <c r="G206" s="132"/>
      <c r="H206" s="132"/>
      <c r="I206" s="132"/>
      <c r="J206" s="132"/>
      <c r="K206" s="132"/>
      <c r="L206" s="177"/>
    </row>
    <row r="207" spans="2:12" ht="18" customHeight="1" x14ac:dyDescent="0.2">
      <c r="B207" s="131"/>
      <c r="C207" s="132"/>
      <c r="D207" s="72"/>
      <c r="E207" s="132"/>
      <c r="F207" s="132"/>
      <c r="G207" s="132"/>
      <c r="H207" s="132"/>
      <c r="I207" s="132"/>
      <c r="J207" s="132"/>
      <c r="K207" s="132"/>
      <c r="L207" s="177"/>
    </row>
    <row r="208" spans="2:12" ht="18" customHeight="1" x14ac:dyDescent="0.2">
      <c r="B208" s="131"/>
      <c r="C208" s="132"/>
      <c r="D208" s="72"/>
      <c r="E208" s="132"/>
      <c r="F208" s="132"/>
      <c r="G208" s="132"/>
      <c r="H208" s="132"/>
      <c r="I208" s="132"/>
      <c r="J208" s="132"/>
      <c r="K208" s="132"/>
      <c r="L208" s="177"/>
    </row>
    <row r="209" spans="2:14" ht="18" customHeight="1" x14ac:dyDescent="0.2">
      <c r="B209" s="131"/>
      <c r="C209" s="132"/>
      <c r="D209" s="72"/>
      <c r="E209" s="132"/>
      <c r="F209" s="132"/>
      <c r="G209" s="132"/>
      <c r="H209" s="132"/>
      <c r="I209" s="132"/>
      <c r="J209" s="132"/>
      <c r="K209" s="132"/>
      <c r="L209" s="177"/>
    </row>
    <row r="210" spans="2:14" ht="18" customHeight="1" x14ac:dyDescent="0.2">
      <c r="B210" s="131"/>
      <c r="C210" s="132"/>
      <c r="D210" s="72"/>
      <c r="E210" s="132"/>
      <c r="F210" s="132"/>
      <c r="G210" s="132"/>
      <c r="H210" s="132"/>
      <c r="I210" s="132"/>
      <c r="J210" s="132"/>
      <c r="K210" s="132"/>
      <c r="L210" s="177"/>
    </row>
    <row r="211" spans="2:14" ht="18" customHeight="1" x14ac:dyDescent="0.2">
      <c r="B211" s="172"/>
      <c r="C211" s="173"/>
      <c r="D211" s="173"/>
      <c r="E211" s="173"/>
      <c r="F211" s="173"/>
      <c r="G211" s="173"/>
      <c r="H211" s="173"/>
      <c r="I211" s="173"/>
      <c r="J211" s="173"/>
      <c r="K211" s="173"/>
      <c r="L211" s="174"/>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398</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88"/>
      <c r="C217" s="214" t="s">
        <v>400</v>
      </c>
      <c r="D217" s="72"/>
      <c r="E217" s="132"/>
      <c r="F217" s="132"/>
      <c r="G217" s="132"/>
      <c r="H217" s="132"/>
      <c r="I217" s="132"/>
      <c r="J217" s="132"/>
      <c r="K217" s="132"/>
      <c r="L217" s="177"/>
    </row>
    <row r="218" spans="2:14" ht="33" customHeight="1" x14ac:dyDescent="0.2">
      <c r="B218" s="184"/>
      <c r="C218" s="492"/>
      <c r="D218" s="482"/>
      <c r="E218" s="482"/>
      <c r="F218" s="482"/>
      <c r="G218" s="482"/>
      <c r="H218" s="482"/>
      <c r="I218" s="482"/>
      <c r="J218" s="482"/>
      <c r="K218" s="483"/>
      <c r="L218" s="177"/>
      <c r="N218" s="402"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88"/>
      <c r="C220" s="366" t="s">
        <v>1068</v>
      </c>
      <c r="D220" s="72"/>
      <c r="E220" s="132"/>
      <c r="F220" s="132"/>
      <c r="G220" s="132"/>
      <c r="H220" s="132"/>
      <c r="I220" s="132"/>
      <c r="J220" s="132"/>
      <c r="K220" s="132"/>
      <c r="L220" s="177"/>
    </row>
    <row r="221" spans="2:14" ht="33" customHeight="1" x14ac:dyDescent="0.2">
      <c r="B221" s="184"/>
      <c r="C221" s="492"/>
      <c r="D221" s="482"/>
      <c r="E221" s="482"/>
      <c r="F221" s="482"/>
      <c r="G221" s="482"/>
      <c r="H221" s="390"/>
      <c r="I221" s="391"/>
      <c r="J221" s="391"/>
      <c r="K221" s="407"/>
      <c r="L221" s="177"/>
      <c r="N221" s="402"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3"/>
      <c r="C223" s="365" t="s">
        <v>399</v>
      </c>
      <c r="D223" s="116"/>
      <c r="E223" s="132"/>
      <c r="F223" s="132"/>
      <c r="G223" s="132"/>
      <c r="H223" s="132"/>
      <c r="I223" s="132"/>
      <c r="J223" s="132"/>
      <c r="K223" s="132"/>
      <c r="L223" s="177"/>
    </row>
    <row r="224" spans="2:14" ht="18" customHeight="1" x14ac:dyDescent="0.2">
      <c r="B224" s="131"/>
      <c r="C224" s="132"/>
      <c r="D224" s="72"/>
      <c r="E224" s="132"/>
      <c r="F224" s="132"/>
      <c r="G224" s="132"/>
      <c r="H224" s="132"/>
      <c r="I224" s="132"/>
      <c r="J224" s="132"/>
      <c r="K224" s="132"/>
      <c r="L224" s="177"/>
    </row>
    <row r="225" spans="2:12" ht="18" customHeight="1" x14ac:dyDescent="0.2">
      <c r="B225" s="131"/>
      <c r="C225" s="132"/>
      <c r="D225" s="72"/>
      <c r="E225" s="132"/>
      <c r="F225" s="132"/>
      <c r="G225" s="132"/>
      <c r="H225" s="132"/>
      <c r="I225" s="132"/>
      <c r="J225" s="132"/>
      <c r="K225" s="132"/>
      <c r="L225" s="364"/>
    </row>
    <row r="226" spans="2:12" ht="18" customHeight="1" x14ac:dyDescent="0.2">
      <c r="B226" s="131"/>
      <c r="C226" s="132"/>
      <c r="D226" s="72"/>
      <c r="E226" s="132"/>
      <c r="F226" s="132"/>
      <c r="G226" s="132"/>
      <c r="H226" s="132"/>
      <c r="I226" s="132"/>
      <c r="J226" s="132"/>
      <c r="K226" s="132"/>
      <c r="L226" s="364"/>
    </row>
    <row r="227" spans="2:12" ht="18" customHeight="1" x14ac:dyDescent="0.2">
      <c r="B227" s="131"/>
      <c r="C227" s="132"/>
      <c r="D227" s="72"/>
      <c r="E227" s="132"/>
      <c r="F227" s="132"/>
      <c r="G227" s="132"/>
      <c r="H227" s="132"/>
      <c r="I227" s="132"/>
      <c r="J227" s="132"/>
      <c r="K227" s="132"/>
      <c r="L227" s="364"/>
    </row>
    <row r="228" spans="2:12" ht="18" customHeight="1" x14ac:dyDescent="0.2">
      <c r="B228" s="131"/>
      <c r="C228" s="132"/>
      <c r="D228" s="72"/>
      <c r="E228" s="132"/>
      <c r="F228" s="132"/>
      <c r="G228" s="132"/>
      <c r="H228" s="132"/>
      <c r="I228" s="132"/>
      <c r="J228" s="132"/>
      <c r="K228" s="132"/>
      <c r="L228" s="364"/>
    </row>
    <row r="229" spans="2:12" ht="18" customHeight="1" x14ac:dyDescent="0.2">
      <c r="B229" s="131"/>
      <c r="C229" s="132"/>
      <c r="D229" s="72"/>
      <c r="E229" s="132"/>
      <c r="F229" s="132"/>
      <c r="G229" s="132"/>
      <c r="H229" s="132"/>
      <c r="I229" s="132"/>
      <c r="J229" s="132"/>
      <c r="K229" s="132"/>
      <c r="L229" s="364"/>
    </row>
    <row r="230" spans="2:12" ht="18" customHeight="1" x14ac:dyDescent="0.2">
      <c r="B230" s="131"/>
      <c r="C230" s="132"/>
      <c r="D230" s="72"/>
      <c r="E230" s="132"/>
      <c r="F230" s="132"/>
      <c r="G230" s="132"/>
      <c r="H230" s="132"/>
      <c r="I230" s="132"/>
      <c r="J230" s="132"/>
      <c r="K230" s="132"/>
      <c r="L230" s="364"/>
    </row>
    <row r="231" spans="2:12" ht="18" customHeight="1" x14ac:dyDescent="0.2">
      <c r="B231" s="131"/>
      <c r="C231" s="132"/>
      <c r="D231" s="72"/>
      <c r="E231" s="132"/>
      <c r="F231" s="132"/>
      <c r="G231" s="132"/>
      <c r="H231" s="132"/>
      <c r="I231" s="132"/>
      <c r="J231" s="132"/>
      <c r="K231" s="132"/>
      <c r="L231" s="364"/>
    </row>
    <row r="232" spans="2:12" ht="18" customHeight="1" x14ac:dyDescent="0.2">
      <c r="B232" s="131"/>
      <c r="C232" s="132"/>
      <c r="D232" s="72"/>
      <c r="E232" s="132"/>
      <c r="F232" s="132"/>
      <c r="G232" s="132"/>
      <c r="H232" s="132"/>
      <c r="I232" s="132"/>
      <c r="J232" s="132"/>
      <c r="K232" s="132"/>
      <c r="L232" s="364"/>
    </row>
    <row r="233" spans="2:12" ht="18" customHeight="1" x14ac:dyDescent="0.2">
      <c r="B233" s="131"/>
      <c r="C233" s="132"/>
      <c r="D233" s="72"/>
      <c r="E233" s="132"/>
      <c r="F233" s="132"/>
      <c r="G233" s="132"/>
      <c r="H233" s="132"/>
      <c r="I233" s="132"/>
      <c r="J233" s="132"/>
      <c r="K233" s="132"/>
      <c r="L233" s="364"/>
    </row>
    <row r="234" spans="2:12" ht="18" customHeight="1" x14ac:dyDescent="0.2">
      <c r="B234" s="131"/>
      <c r="C234" s="132"/>
      <c r="D234" s="72"/>
      <c r="E234" s="132"/>
      <c r="F234" s="132"/>
      <c r="G234" s="132"/>
      <c r="H234" s="132"/>
      <c r="I234" s="132"/>
      <c r="J234" s="132"/>
      <c r="K234" s="132"/>
      <c r="L234" s="364"/>
    </row>
    <row r="235" spans="2:12" ht="18" customHeight="1" x14ac:dyDescent="0.2">
      <c r="B235" s="131"/>
      <c r="C235" s="132"/>
      <c r="D235" s="72"/>
      <c r="E235" s="132"/>
      <c r="F235" s="132"/>
      <c r="G235" s="132"/>
      <c r="H235" s="132"/>
      <c r="I235" s="132"/>
      <c r="J235" s="132"/>
      <c r="K235" s="132"/>
      <c r="L235" s="177"/>
    </row>
    <row r="236" spans="2:12" ht="18" customHeight="1" x14ac:dyDescent="0.2">
      <c r="B236" s="131"/>
      <c r="C236" s="186"/>
      <c r="D236" s="72"/>
      <c r="E236" s="132"/>
      <c r="F236" s="132"/>
      <c r="G236" s="132"/>
      <c r="H236" s="132"/>
      <c r="I236" s="132"/>
      <c r="J236" s="132"/>
      <c r="K236" s="132"/>
      <c r="L236" s="177"/>
    </row>
    <row r="237" spans="2:12" ht="18" customHeight="1" x14ac:dyDescent="0.2">
      <c r="B237" s="131"/>
      <c r="C237" s="132"/>
      <c r="D237" s="72"/>
      <c r="E237" s="132"/>
      <c r="F237" s="132"/>
      <c r="G237" s="132"/>
      <c r="H237" s="132"/>
      <c r="I237" s="132"/>
      <c r="J237" s="132"/>
      <c r="K237" s="132"/>
      <c r="L237" s="177"/>
    </row>
    <row r="238" spans="2:12" ht="18" customHeight="1" x14ac:dyDescent="0.2">
      <c r="B238" s="131"/>
      <c r="C238" s="132"/>
      <c r="D238" s="72"/>
      <c r="E238" s="132"/>
      <c r="F238" s="132"/>
      <c r="G238" s="132"/>
      <c r="H238" s="132"/>
      <c r="I238" s="132"/>
      <c r="J238" s="132"/>
      <c r="K238" s="132"/>
      <c r="L238" s="177"/>
    </row>
    <row r="239" spans="2:12" ht="18" customHeight="1" x14ac:dyDescent="0.2">
      <c r="B239" s="131"/>
      <c r="C239" s="132"/>
      <c r="D239" s="72"/>
      <c r="E239" s="132"/>
      <c r="F239" s="132"/>
      <c r="G239" s="132"/>
      <c r="H239" s="132"/>
      <c r="I239" s="132"/>
      <c r="J239" s="132"/>
      <c r="K239" s="132"/>
      <c r="L239" s="177"/>
    </row>
    <row r="240" spans="2:12" ht="18" customHeight="1" x14ac:dyDescent="0.2">
      <c r="B240" s="131"/>
      <c r="C240" s="132"/>
      <c r="D240" s="72"/>
      <c r="E240" s="132"/>
      <c r="F240" s="132"/>
      <c r="G240" s="132"/>
      <c r="H240" s="132"/>
      <c r="I240" s="132"/>
      <c r="J240" s="132"/>
      <c r="K240" s="132"/>
      <c r="L240" s="177"/>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88"/>
      <c r="C243" s="214" t="s">
        <v>401</v>
      </c>
      <c r="D243" s="72"/>
      <c r="E243" s="132"/>
      <c r="F243" s="132"/>
      <c r="G243" s="132"/>
      <c r="H243" s="132"/>
      <c r="I243" s="132"/>
      <c r="J243" s="132"/>
      <c r="K243" s="132"/>
      <c r="L243" s="177"/>
    </row>
    <row r="244" spans="2:14" ht="33" customHeight="1" x14ac:dyDescent="0.2">
      <c r="B244" s="184"/>
      <c r="C244" s="492"/>
      <c r="D244" s="482"/>
      <c r="E244" s="482"/>
      <c r="F244" s="482"/>
      <c r="G244" s="482"/>
      <c r="H244" s="482"/>
      <c r="I244" s="482"/>
      <c r="J244" s="482"/>
      <c r="K244" s="483"/>
      <c r="L244" s="177"/>
      <c r="N244" s="402"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88"/>
      <c r="C246" s="366" t="s">
        <v>1068</v>
      </c>
      <c r="D246" s="72"/>
      <c r="E246" s="132"/>
      <c r="F246" s="132"/>
      <c r="G246" s="132"/>
      <c r="H246" s="132"/>
      <c r="I246" s="132"/>
      <c r="J246" s="132"/>
      <c r="K246" s="132"/>
      <c r="L246" s="177"/>
    </row>
    <row r="247" spans="2:14" ht="33" customHeight="1" x14ac:dyDescent="0.2">
      <c r="B247" s="184"/>
      <c r="C247" s="492"/>
      <c r="D247" s="482"/>
      <c r="E247" s="482"/>
      <c r="F247" s="482"/>
      <c r="G247" s="482"/>
      <c r="H247" s="390"/>
      <c r="I247" s="391"/>
      <c r="J247" s="391"/>
      <c r="K247" s="391"/>
      <c r="L247" s="177"/>
      <c r="N247" s="402"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3"/>
      <c r="C249" s="365" t="s">
        <v>1371</v>
      </c>
      <c r="D249" s="116"/>
      <c r="E249" s="132"/>
      <c r="F249" s="132"/>
      <c r="G249" s="132"/>
      <c r="H249" s="132"/>
      <c r="I249" s="132"/>
      <c r="J249" s="132"/>
      <c r="K249" s="132"/>
      <c r="L249" s="177"/>
    </row>
    <row r="250" spans="2:14" ht="18" customHeight="1" x14ac:dyDescent="0.2">
      <c r="B250" s="131"/>
      <c r="C250" s="132"/>
      <c r="D250" s="72"/>
      <c r="E250" s="132"/>
      <c r="F250" s="132"/>
      <c r="G250" s="132"/>
      <c r="H250" s="132"/>
      <c r="I250" s="132"/>
      <c r="J250" s="132"/>
      <c r="K250" s="132"/>
      <c r="L250" s="177"/>
    </row>
    <row r="251" spans="2:14" ht="18" customHeight="1" x14ac:dyDescent="0.2">
      <c r="B251" s="131"/>
      <c r="C251" s="132"/>
      <c r="D251" s="72"/>
      <c r="E251" s="132"/>
      <c r="F251" s="132"/>
      <c r="G251" s="132"/>
      <c r="H251" s="132"/>
      <c r="I251" s="132"/>
      <c r="J251" s="132"/>
      <c r="K251" s="132"/>
      <c r="L251" s="364"/>
    </row>
    <row r="252" spans="2:14" ht="18" customHeight="1" x14ac:dyDescent="0.2">
      <c r="B252" s="131"/>
      <c r="C252" s="132"/>
      <c r="D252" s="72"/>
      <c r="E252" s="132"/>
      <c r="F252" s="132"/>
      <c r="G252" s="132"/>
      <c r="H252" s="132"/>
      <c r="I252" s="132"/>
      <c r="J252" s="132"/>
      <c r="K252" s="132"/>
      <c r="L252" s="364"/>
    </row>
    <row r="253" spans="2:14" ht="18" customHeight="1" x14ac:dyDescent="0.2">
      <c r="B253" s="131"/>
      <c r="C253" s="132"/>
      <c r="D253" s="72"/>
      <c r="E253" s="132"/>
      <c r="F253" s="132"/>
      <c r="G253" s="132"/>
      <c r="H253" s="132"/>
      <c r="I253" s="132"/>
      <c r="J253" s="132"/>
      <c r="K253" s="132"/>
      <c r="L253" s="364"/>
    </row>
    <row r="254" spans="2:14" ht="18" customHeight="1" x14ac:dyDescent="0.2">
      <c r="B254" s="131"/>
      <c r="C254" s="132"/>
      <c r="D254" s="72"/>
      <c r="E254" s="132"/>
      <c r="F254" s="132"/>
      <c r="G254" s="132"/>
      <c r="H254" s="132"/>
      <c r="I254" s="132"/>
      <c r="J254" s="132"/>
      <c r="K254" s="132"/>
      <c r="L254" s="364"/>
    </row>
    <row r="255" spans="2:14" ht="18" customHeight="1" x14ac:dyDescent="0.2">
      <c r="B255" s="131"/>
      <c r="C255" s="132"/>
      <c r="D255" s="72"/>
      <c r="E255" s="132"/>
      <c r="F255" s="132"/>
      <c r="G255" s="132"/>
      <c r="H255" s="132"/>
      <c r="I255" s="132"/>
      <c r="J255" s="132"/>
      <c r="K255" s="132"/>
      <c r="L255" s="364"/>
    </row>
    <row r="256" spans="2:14" ht="18" customHeight="1" x14ac:dyDescent="0.2">
      <c r="B256" s="131"/>
      <c r="C256" s="132"/>
      <c r="D256" s="72"/>
      <c r="E256" s="132"/>
      <c r="F256" s="132"/>
      <c r="G256" s="132"/>
      <c r="H256" s="132"/>
      <c r="I256" s="132"/>
      <c r="J256" s="132"/>
      <c r="K256" s="132"/>
      <c r="L256" s="364"/>
    </row>
    <row r="257" spans="2:14" ht="18" customHeight="1" x14ac:dyDescent="0.2">
      <c r="B257" s="131"/>
      <c r="C257" s="132"/>
      <c r="D257" s="72"/>
      <c r="E257" s="132"/>
      <c r="F257" s="132"/>
      <c r="G257" s="132"/>
      <c r="H257" s="132"/>
      <c r="I257" s="132"/>
      <c r="J257" s="132"/>
      <c r="K257" s="132"/>
      <c r="L257" s="364"/>
    </row>
    <row r="258" spans="2:14" ht="18" customHeight="1" x14ac:dyDescent="0.2">
      <c r="B258" s="131"/>
      <c r="C258" s="132"/>
      <c r="D258" s="72"/>
      <c r="E258" s="132"/>
      <c r="F258" s="132"/>
      <c r="G258" s="132"/>
      <c r="H258" s="132"/>
      <c r="I258" s="132"/>
      <c r="J258" s="132"/>
      <c r="K258" s="132"/>
      <c r="L258" s="364"/>
    </row>
    <row r="259" spans="2:14" ht="18" customHeight="1" x14ac:dyDescent="0.2">
      <c r="B259" s="131"/>
      <c r="C259" s="132"/>
      <c r="D259" s="72"/>
      <c r="E259" s="132"/>
      <c r="F259" s="132"/>
      <c r="G259" s="132"/>
      <c r="H259" s="132"/>
      <c r="I259" s="132"/>
      <c r="J259" s="132"/>
      <c r="K259" s="132"/>
      <c r="L259" s="364"/>
    </row>
    <row r="260" spans="2:14" ht="18" customHeight="1" x14ac:dyDescent="0.2">
      <c r="B260" s="131"/>
      <c r="C260" s="132"/>
      <c r="D260" s="72"/>
      <c r="E260" s="132"/>
      <c r="F260" s="132"/>
      <c r="G260" s="132"/>
      <c r="H260" s="132"/>
      <c r="I260" s="132"/>
      <c r="J260" s="132"/>
      <c r="K260" s="132"/>
      <c r="L260" s="364"/>
    </row>
    <row r="261" spans="2:14" ht="18" customHeight="1" x14ac:dyDescent="0.2">
      <c r="B261" s="131"/>
      <c r="C261" s="132"/>
      <c r="D261" s="72"/>
      <c r="E261" s="132"/>
      <c r="F261" s="132"/>
      <c r="G261" s="132"/>
      <c r="H261" s="132"/>
      <c r="I261" s="132"/>
      <c r="J261" s="132"/>
      <c r="K261" s="132"/>
      <c r="L261" s="177"/>
    </row>
    <row r="262" spans="2:14" ht="18" customHeight="1" x14ac:dyDescent="0.2">
      <c r="B262" s="131"/>
      <c r="C262" s="186"/>
      <c r="D262" s="72"/>
      <c r="E262" s="132"/>
      <c r="F262" s="132"/>
      <c r="G262" s="132"/>
      <c r="H262" s="132"/>
      <c r="I262" s="132"/>
      <c r="J262" s="132"/>
      <c r="K262" s="132"/>
      <c r="L262" s="177"/>
    </row>
    <row r="263" spans="2:14" ht="18" customHeight="1" x14ac:dyDescent="0.2">
      <c r="B263" s="131"/>
      <c r="C263" s="132"/>
      <c r="D263" s="72"/>
      <c r="E263" s="132"/>
      <c r="F263" s="132"/>
      <c r="G263" s="132"/>
      <c r="H263" s="132"/>
      <c r="I263" s="132"/>
      <c r="J263" s="132"/>
      <c r="K263" s="132"/>
      <c r="L263" s="177"/>
    </row>
    <row r="264" spans="2:14" ht="18" customHeight="1" x14ac:dyDescent="0.2">
      <c r="B264" s="131"/>
      <c r="C264" s="132"/>
      <c r="D264" s="72"/>
      <c r="E264" s="132"/>
      <c r="F264" s="132"/>
      <c r="G264" s="132"/>
      <c r="H264" s="132"/>
      <c r="I264" s="132"/>
      <c r="J264" s="132"/>
      <c r="K264" s="132"/>
      <c r="L264" s="177"/>
    </row>
    <row r="265" spans="2:14" ht="18" customHeight="1" x14ac:dyDescent="0.2">
      <c r="B265" s="131"/>
      <c r="C265" s="132"/>
      <c r="D265" s="72"/>
      <c r="E265" s="132"/>
      <c r="F265" s="132"/>
      <c r="G265" s="132"/>
      <c r="H265" s="132"/>
      <c r="I265" s="132"/>
      <c r="J265" s="132"/>
      <c r="K265" s="132"/>
      <c r="L265" s="177"/>
    </row>
    <row r="266" spans="2:14" ht="18" customHeight="1" x14ac:dyDescent="0.2">
      <c r="B266" s="131"/>
      <c r="C266" s="132"/>
      <c r="D266" s="72"/>
      <c r="E266" s="132"/>
      <c r="F266" s="132"/>
      <c r="G266" s="132"/>
      <c r="H266" s="132"/>
      <c r="I266" s="132"/>
      <c r="J266" s="132"/>
      <c r="K266" s="132"/>
      <c r="L266" s="177"/>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5"/>
      <c r="C270" s="106"/>
      <c r="D270" s="106"/>
      <c r="E270" s="106"/>
      <c r="F270" s="106"/>
      <c r="G270" s="106"/>
      <c r="H270" s="106"/>
      <c r="I270" s="106"/>
      <c r="J270" s="106"/>
      <c r="K270" s="106"/>
      <c r="L270" s="383"/>
    </row>
    <row r="271" spans="2:14" ht="18" customHeight="1" x14ac:dyDescent="0.2">
      <c r="B271" s="188"/>
      <c r="C271" s="214" t="s">
        <v>402</v>
      </c>
      <c r="D271" s="72"/>
      <c r="E271" s="132"/>
      <c r="F271" s="132"/>
      <c r="G271" s="132"/>
      <c r="H271" s="132"/>
      <c r="I271" s="132"/>
      <c r="J271" s="132"/>
      <c r="K271" s="132"/>
      <c r="L271" s="364"/>
    </row>
    <row r="272" spans="2:14" ht="33" customHeight="1" x14ac:dyDescent="0.2">
      <c r="B272" s="184"/>
      <c r="C272" s="492"/>
      <c r="D272" s="482"/>
      <c r="E272" s="482"/>
      <c r="F272" s="482"/>
      <c r="G272" s="482"/>
      <c r="H272" s="482"/>
      <c r="I272" s="482"/>
      <c r="J272" s="482"/>
      <c r="K272" s="483"/>
      <c r="L272" s="177"/>
      <c r="N272" s="402" t="str">
        <f>IF(AND(Activity3_Name&lt;&gt;"",output_relates_activity3=""),"Assign activity to the related output. / Priraďte aktivitu k výsledku.","")</f>
        <v/>
      </c>
    </row>
    <row r="273" spans="2:14" s="78" customFormat="1" ht="4.5" customHeight="1" x14ac:dyDescent="0.2">
      <c r="B273" s="102"/>
      <c r="C273" s="474"/>
      <c r="D273" s="475"/>
      <c r="E273" s="475"/>
      <c r="F273" s="475"/>
      <c r="G273" s="475"/>
      <c r="H273" s="97"/>
      <c r="I273" s="97"/>
      <c r="J273" s="97"/>
      <c r="K273" s="97"/>
      <c r="L273" s="101"/>
    </row>
    <row r="274" spans="2:14" ht="18" customHeight="1" x14ac:dyDescent="0.2">
      <c r="B274" s="188"/>
      <c r="C274" s="366" t="s">
        <v>1068</v>
      </c>
      <c r="D274" s="72"/>
      <c r="E274" s="132"/>
      <c r="F274" s="132"/>
      <c r="G274" s="132"/>
      <c r="H274" s="132"/>
      <c r="I274" s="132"/>
      <c r="J274" s="132"/>
      <c r="K274" s="132"/>
      <c r="L274" s="177"/>
    </row>
    <row r="275" spans="2:14" ht="33" customHeight="1" x14ac:dyDescent="0.2">
      <c r="B275" s="184"/>
      <c r="C275" s="492"/>
      <c r="D275" s="482"/>
      <c r="E275" s="482"/>
      <c r="F275" s="482"/>
      <c r="G275" s="482"/>
      <c r="H275" s="390"/>
      <c r="I275" s="391"/>
      <c r="J275" s="391"/>
      <c r="K275" s="391"/>
      <c r="L275" s="177"/>
      <c r="N275" s="402"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3"/>
      <c r="C277" s="365" t="s">
        <v>403</v>
      </c>
      <c r="D277" s="116"/>
      <c r="E277" s="132"/>
      <c r="F277" s="132"/>
      <c r="G277" s="132"/>
      <c r="H277" s="132"/>
      <c r="I277" s="132"/>
      <c r="J277" s="132"/>
      <c r="K277" s="132"/>
      <c r="L277" s="177"/>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77"/>
    </row>
    <row r="280" spans="2:14" ht="18" customHeight="1" x14ac:dyDescent="0.2">
      <c r="B280" s="131"/>
      <c r="C280" s="132"/>
      <c r="D280" s="72"/>
      <c r="E280" s="132"/>
      <c r="F280" s="132"/>
      <c r="G280" s="132"/>
      <c r="H280" s="132"/>
      <c r="I280" s="132"/>
      <c r="J280" s="132"/>
      <c r="K280" s="132"/>
      <c r="L280" s="177"/>
    </row>
    <row r="281" spans="2:14" ht="18" customHeight="1" x14ac:dyDescent="0.2">
      <c r="B281" s="131"/>
      <c r="C281" s="132"/>
      <c r="D281" s="72"/>
      <c r="E281" s="132"/>
      <c r="F281" s="132"/>
      <c r="G281" s="132"/>
      <c r="H281" s="132"/>
      <c r="I281" s="132"/>
      <c r="J281" s="132"/>
      <c r="K281" s="132"/>
      <c r="L281" s="364"/>
    </row>
    <row r="282" spans="2:14" ht="18" customHeight="1" x14ac:dyDescent="0.2">
      <c r="B282" s="131"/>
      <c r="C282" s="132"/>
      <c r="D282" s="72"/>
      <c r="E282" s="132"/>
      <c r="F282" s="132"/>
      <c r="G282" s="132"/>
      <c r="H282" s="132"/>
      <c r="I282" s="132"/>
      <c r="J282" s="132"/>
      <c r="K282" s="132"/>
      <c r="L282" s="364"/>
    </row>
    <row r="283" spans="2:14" ht="18" customHeight="1" x14ac:dyDescent="0.2">
      <c r="B283" s="131"/>
      <c r="C283" s="132"/>
      <c r="D283" s="72"/>
      <c r="E283" s="132"/>
      <c r="F283" s="132"/>
      <c r="G283" s="132"/>
      <c r="H283" s="132"/>
      <c r="I283" s="132"/>
      <c r="J283" s="132"/>
      <c r="K283" s="132"/>
      <c r="L283" s="364"/>
    </row>
    <row r="284" spans="2:14" ht="18" customHeight="1" x14ac:dyDescent="0.2">
      <c r="B284" s="131"/>
      <c r="C284" s="132"/>
      <c r="D284" s="72"/>
      <c r="E284" s="132"/>
      <c r="F284" s="132"/>
      <c r="G284" s="132"/>
      <c r="H284" s="132"/>
      <c r="I284" s="132"/>
      <c r="J284" s="132"/>
      <c r="K284" s="132"/>
      <c r="L284" s="364"/>
    </row>
    <row r="285" spans="2:14" ht="18" customHeight="1" x14ac:dyDescent="0.2">
      <c r="B285" s="131"/>
      <c r="C285" s="132"/>
      <c r="D285" s="72"/>
      <c r="E285" s="132"/>
      <c r="F285" s="132"/>
      <c r="G285" s="132"/>
      <c r="H285" s="132"/>
      <c r="I285" s="132"/>
      <c r="J285" s="132"/>
      <c r="K285" s="132"/>
      <c r="L285" s="364"/>
    </row>
    <row r="286" spans="2:14" ht="18" customHeight="1" x14ac:dyDescent="0.2">
      <c r="B286" s="131"/>
      <c r="C286" s="132"/>
      <c r="D286" s="72"/>
      <c r="E286" s="132"/>
      <c r="F286" s="132"/>
      <c r="G286" s="132"/>
      <c r="H286" s="132"/>
      <c r="I286" s="132"/>
      <c r="J286" s="132"/>
      <c r="K286" s="132"/>
      <c r="L286" s="364"/>
    </row>
    <row r="287" spans="2:14" ht="18" customHeight="1" x14ac:dyDescent="0.2">
      <c r="B287" s="131"/>
      <c r="C287" s="132"/>
      <c r="D287" s="72"/>
      <c r="E287" s="132"/>
      <c r="F287" s="132"/>
      <c r="G287" s="132"/>
      <c r="H287" s="132"/>
      <c r="I287" s="132"/>
      <c r="J287" s="132"/>
      <c r="K287" s="132"/>
      <c r="L287" s="364"/>
    </row>
    <row r="288" spans="2:14" ht="18" customHeight="1" x14ac:dyDescent="0.2">
      <c r="B288" s="131"/>
      <c r="C288" s="132"/>
      <c r="D288" s="72"/>
      <c r="E288" s="132"/>
      <c r="F288" s="132"/>
      <c r="G288" s="132"/>
      <c r="H288" s="132"/>
      <c r="I288" s="132"/>
      <c r="J288" s="132"/>
      <c r="K288" s="132"/>
      <c r="L288" s="364"/>
    </row>
    <row r="289" spans="2:14" ht="18" customHeight="1" x14ac:dyDescent="0.2">
      <c r="B289" s="131"/>
      <c r="C289" s="132"/>
      <c r="D289" s="72"/>
      <c r="E289" s="132"/>
      <c r="F289" s="132"/>
      <c r="G289" s="132"/>
      <c r="H289" s="132"/>
      <c r="I289" s="132"/>
      <c r="J289" s="132"/>
      <c r="K289" s="132"/>
      <c r="L289" s="364"/>
    </row>
    <row r="290" spans="2:14" ht="18" customHeight="1" x14ac:dyDescent="0.2">
      <c r="B290" s="131"/>
      <c r="C290" s="132"/>
      <c r="D290" s="72"/>
      <c r="E290" s="132"/>
      <c r="F290" s="132"/>
      <c r="G290" s="132"/>
      <c r="H290" s="132"/>
      <c r="I290" s="132"/>
      <c r="J290" s="132"/>
      <c r="K290" s="132"/>
      <c r="L290" s="364"/>
    </row>
    <row r="291" spans="2:14" ht="18" customHeight="1" x14ac:dyDescent="0.2">
      <c r="B291" s="131"/>
      <c r="C291" s="186"/>
      <c r="D291" s="72"/>
      <c r="E291" s="132"/>
      <c r="F291" s="132"/>
      <c r="G291" s="132"/>
      <c r="H291" s="132"/>
      <c r="I291" s="132"/>
      <c r="J291" s="132"/>
      <c r="K291" s="132"/>
      <c r="L291" s="177"/>
    </row>
    <row r="292" spans="2:14" ht="18" customHeight="1" x14ac:dyDescent="0.2">
      <c r="B292" s="131"/>
      <c r="C292" s="132"/>
      <c r="D292" s="72"/>
      <c r="E292" s="132"/>
      <c r="F292" s="132"/>
      <c r="G292" s="132"/>
      <c r="H292" s="132"/>
      <c r="I292" s="132"/>
      <c r="J292" s="132"/>
      <c r="K292" s="132"/>
      <c r="L292" s="177"/>
    </row>
    <row r="293" spans="2:14" ht="18" customHeight="1" x14ac:dyDescent="0.2">
      <c r="B293" s="131"/>
      <c r="C293" s="132"/>
      <c r="D293" s="72"/>
      <c r="E293" s="132"/>
      <c r="F293" s="132"/>
      <c r="G293" s="132"/>
      <c r="H293" s="132"/>
      <c r="I293" s="132"/>
      <c r="J293" s="132"/>
      <c r="K293" s="132"/>
      <c r="L293" s="177"/>
    </row>
    <row r="294" spans="2:14" ht="18" customHeight="1" x14ac:dyDescent="0.2">
      <c r="B294" s="131"/>
      <c r="C294" s="132"/>
      <c r="D294" s="72"/>
      <c r="E294" s="132"/>
      <c r="F294" s="132"/>
      <c r="G294" s="132"/>
      <c r="H294" s="132"/>
      <c r="I294" s="132"/>
      <c r="J294" s="132"/>
      <c r="K294" s="132"/>
      <c r="L294" s="177"/>
    </row>
    <row r="295" spans="2:14" ht="18" customHeight="1" x14ac:dyDescent="0.2">
      <c r="B295" s="131"/>
      <c r="C295" s="132"/>
      <c r="D295" s="72"/>
      <c r="E295" s="132"/>
      <c r="F295" s="132"/>
      <c r="G295" s="132"/>
      <c r="H295" s="132"/>
      <c r="I295" s="132"/>
      <c r="J295" s="132"/>
      <c r="K295" s="132"/>
      <c r="L295" s="177"/>
    </row>
    <row r="296" spans="2:14" s="78" customFormat="1" ht="4.5" customHeight="1" x14ac:dyDescent="0.2">
      <c r="B296" s="102"/>
      <c r="C296" s="97"/>
      <c r="D296" s="97"/>
      <c r="E296" s="97"/>
      <c r="F296" s="97"/>
      <c r="G296" s="97"/>
      <c r="H296" s="97"/>
      <c r="I296" s="97"/>
      <c r="J296" s="97"/>
      <c r="K296" s="97"/>
      <c r="L296" s="101"/>
    </row>
    <row r="297" spans="2:14" ht="18" customHeight="1" x14ac:dyDescent="0.2">
      <c r="B297" s="188"/>
      <c r="C297" s="366" t="s">
        <v>404</v>
      </c>
      <c r="D297" s="72"/>
      <c r="E297" s="132"/>
      <c r="F297" s="132"/>
      <c r="G297" s="132"/>
      <c r="H297" s="132"/>
      <c r="I297" s="132"/>
      <c r="J297" s="132"/>
      <c r="K297" s="132"/>
      <c r="L297" s="177"/>
    </row>
    <row r="298" spans="2:14" ht="33" customHeight="1" x14ac:dyDescent="0.2">
      <c r="B298" s="184"/>
      <c r="C298" s="492"/>
      <c r="D298" s="482"/>
      <c r="E298" s="482"/>
      <c r="F298" s="482"/>
      <c r="G298" s="482"/>
      <c r="H298" s="482"/>
      <c r="I298" s="482"/>
      <c r="J298" s="482"/>
      <c r="K298" s="483"/>
      <c r="L298" s="177"/>
      <c r="N298" s="402"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88"/>
      <c r="C300" s="366" t="s">
        <v>1068</v>
      </c>
      <c r="D300" s="72"/>
      <c r="E300" s="132"/>
      <c r="F300" s="132"/>
      <c r="G300" s="132"/>
      <c r="H300" s="132"/>
      <c r="I300" s="132"/>
      <c r="J300" s="132"/>
      <c r="K300" s="132"/>
      <c r="L300" s="177"/>
    </row>
    <row r="301" spans="2:14" ht="33" customHeight="1" x14ac:dyDescent="0.2">
      <c r="B301" s="184"/>
      <c r="C301" s="492"/>
      <c r="D301" s="482"/>
      <c r="E301" s="482"/>
      <c r="F301" s="482"/>
      <c r="G301" s="482"/>
      <c r="H301" s="390"/>
      <c r="I301" s="391"/>
      <c r="J301" s="391"/>
      <c r="K301" s="391"/>
      <c r="L301" s="177"/>
      <c r="N301" s="402"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3"/>
      <c r="C303" s="365" t="s">
        <v>405</v>
      </c>
      <c r="D303" s="116"/>
      <c r="E303" s="132"/>
      <c r="F303" s="132"/>
      <c r="G303" s="132"/>
      <c r="H303" s="132"/>
      <c r="I303" s="132"/>
      <c r="J303" s="132"/>
      <c r="K303" s="132"/>
      <c r="L303" s="177"/>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77"/>
    </row>
    <row r="306" spans="2:12" ht="18" customHeight="1" x14ac:dyDescent="0.2">
      <c r="B306" s="131"/>
      <c r="C306" s="132"/>
      <c r="D306" s="72"/>
      <c r="E306" s="132"/>
      <c r="F306" s="132"/>
      <c r="G306" s="132"/>
      <c r="H306" s="132"/>
      <c r="I306" s="132"/>
      <c r="J306" s="132"/>
      <c r="K306" s="132"/>
      <c r="L306" s="177"/>
    </row>
    <row r="307" spans="2:12" ht="18" customHeight="1" x14ac:dyDescent="0.2">
      <c r="B307" s="131"/>
      <c r="C307" s="132"/>
      <c r="D307" s="72"/>
      <c r="E307" s="132"/>
      <c r="F307" s="132"/>
      <c r="G307" s="132"/>
      <c r="H307" s="132"/>
      <c r="I307" s="132"/>
      <c r="J307" s="132"/>
      <c r="K307" s="132"/>
      <c r="L307" s="364"/>
    </row>
    <row r="308" spans="2:12" ht="18" customHeight="1" x14ac:dyDescent="0.2">
      <c r="B308" s="131"/>
      <c r="C308" s="132"/>
      <c r="D308" s="72"/>
      <c r="E308" s="132"/>
      <c r="F308" s="132"/>
      <c r="G308" s="132"/>
      <c r="H308" s="132"/>
      <c r="I308" s="132"/>
      <c r="J308" s="132"/>
      <c r="K308" s="132"/>
      <c r="L308" s="364"/>
    </row>
    <row r="309" spans="2:12" ht="18" customHeight="1" x14ac:dyDescent="0.2">
      <c r="B309" s="131"/>
      <c r="C309" s="132"/>
      <c r="D309" s="72"/>
      <c r="E309" s="132"/>
      <c r="F309" s="132"/>
      <c r="G309" s="132"/>
      <c r="H309" s="132"/>
      <c r="I309" s="132"/>
      <c r="J309" s="132"/>
      <c r="K309" s="132"/>
      <c r="L309" s="364"/>
    </row>
    <row r="310" spans="2:12" ht="18" customHeight="1" x14ac:dyDescent="0.2">
      <c r="B310" s="131"/>
      <c r="C310" s="132"/>
      <c r="D310" s="72"/>
      <c r="E310" s="132"/>
      <c r="F310" s="132"/>
      <c r="G310" s="132"/>
      <c r="H310" s="132"/>
      <c r="I310" s="132"/>
      <c r="J310" s="132"/>
      <c r="K310" s="132"/>
      <c r="L310" s="364"/>
    </row>
    <row r="311" spans="2:12" ht="18" customHeight="1" x14ac:dyDescent="0.2">
      <c r="B311" s="131"/>
      <c r="C311" s="132"/>
      <c r="D311" s="72"/>
      <c r="E311" s="132"/>
      <c r="F311" s="132"/>
      <c r="G311" s="132"/>
      <c r="H311" s="132"/>
      <c r="I311" s="132"/>
      <c r="J311" s="132"/>
      <c r="K311" s="132"/>
      <c r="L311" s="364"/>
    </row>
    <row r="312" spans="2:12" ht="18" customHeight="1" x14ac:dyDescent="0.2">
      <c r="B312" s="131"/>
      <c r="C312" s="132"/>
      <c r="D312" s="72"/>
      <c r="E312" s="132"/>
      <c r="F312" s="132"/>
      <c r="G312" s="132"/>
      <c r="H312" s="132"/>
      <c r="I312" s="132"/>
      <c r="J312" s="132"/>
      <c r="K312" s="132"/>
      <c r="L312" s="364"/>
    </row>
    <row r="313" spans="2:12" ht="18" customHeight="1" x14ac:dyDescent="0.2">
      <c r="B313" s="131"/>
      <c r="C313" s="132"/>
      <c r="D313" s="72"/>
      <c r="E313" s="132"/>
      <c r="F313" s="132"/>
      <c r="G313" s="132"/>
      <c r="H313" s="132"/>
      <c r="I313" s="132"/>
      <c r="J313" s="132"/>
      <c r="K313" s="132"/>
      <c r="L313" s="364"/>
    </row>
    <row r="314" spans="2:12" ht="18" customHeight="1" x14ac:dyDescent="0.2">
      <c r="B314" s="131"/>
      <c r="C314" s="132"/>
      <c r="D314" s="72"/>
      <c r="E314" s="132"/>
      <c r="F314" s="132"/>
      <c r="G314" s="132"/>
      <c r="H314" s="132"/>
      <c r="I314" s="132"/>
      <c r="J314" s="132"/>
      <c r="K314" s="132"/>
      <c r="L314" s="364"/>
    </row>
    <row r="315" spans="2:12" ht="18" customHeight="1" x14ac:dyDescent="0.2">
      <c r="B315" s="131"/>
      <c r="C315" s="132"/>
      <c r="D315" s="72"/>
      <c r="E315" s="132"/>
      <c r="F315" s="132"/>
      <c r="G315" s="132"/>
      <c r="H315" s="132"/>
      <c r="I315" s="132"/>
      <c r="J315" s="132"/>
      <c r="K315" s="132"/>
      <c r="L315" s="364"/>
    </row>
    <row r="316" spans="2:12" ht="18" customHeight="1" x14ac:dyDescent="0.2">
      <c r="B316" s="131"/>
      <c r="C316" s="132"/>
      <c r="D316" s="72"/>
      <c r="E316" s="132"/>
      <c r="F316" s="132"/>
      <c r="G316" s="132"/>
      <c r="H316" s="132"/>
      <c r="I316" s="132"/>
      <c r="J316" s="132"/>
      <c r="K316" s="132"/>
      <c r="L316" s="364"/>
    </row>
    <row r="317" spans="2:12" ht="18" customHeight="1" x14ac:dyDescent="0.2">
      <c r="B317" s="131"/>
      <c r="C317" s="186"/>
      <c r="D317" s="72"/>
      <c r="E317" s="132"/>
      <c r="F317" s="132"/>
      <c r="G317" s="132"/>
      <c r="H317" s="132"/>
      <c r="I317" s="132"/>
      <c r="J317" s="132"/>
      <c r="K317" s="132"/>
      <c r="L317" s="177"/>
    </row>
    <row r="318" spans="2:12" ht="18" customHeight="1" x14ac:dyDescent="0.2">
      <c r="B318" s="131"/>
      <c r="C318" s="132"/>
      <c r="D318" s="72"/>
      <c r="E318" s="132"/>
      <c r="F318" s="132"/>
      <c r="G318" s="132"/>
      <c r="H318" s="132"/>
      <c r="I318" s="132"/>
      <c r="J318" s="132"/>
      <c r="K318" s="132"/>
      <c r="L318" s="177"/>
    </row>
    <row r="319" spans="2:12" ht="18" customHeight="1" x14ac:dyDescent="0.2">
      <c r="B319" s="131"/>
      <c r="C319" s="132"/>
      <c r="D319" s="72"/>
      <c r="E319" s="132"/>
      <c r="F319" s="132"/>
      <c r="G319" s="132"/>
      <c r="H319" s="132"/>
      <c r="I319" s="132"/>
      <c r="J319" s="132"/>
      <c r="K319" s="132"/>
      <c r="L319" s="177"/>
    </row>
    <row r="320" spans="2:12" ht="18" customHeight="1" x14ac:dyDescent="0.2">
      <c r="B320" s="131"/>
      <c r="C320" s="132"/>
      <c r="D320" s="72"/>
      <c r="E320" s="132"/>
      <c r="F320" s="132"/>
      <c r="G320" s="132"/>
      <c r="H320" s="132"/>
      <c r="I320" s="132"/>
      <c r="J320" s="132"/>
      <c r="K320" s="132"/>
      <c r="L320" s="177"/>
    </row>
    <row r="321" spans="2:14" ht="18" customHeight="1" x14ac:dyDescent="0.2">
      <c r="B321" s="131"/>
      <c r="C321" s="132"/>
      <c r="D321" s="72"/>
      <c r="E321" s="132"/>
      <c r="F321" s="132"/>
      <c r="G321" s="132"/>
      <c r="H321" s="132"/>
      <c r="I321" s="132"/>
      <c r="J321" s="132"/>
      <c r="K321" s="132"/>
      <c r="L321" s="177"/>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1"/>
      <c r="C326" s="367" t="s">
        <v>406</v>
      </c>
      <c r="D326" s="169"/>
      <c r="E326" s="93"/>
      <c r="F326" s="93"/>
      <c r="G326" s="93"/>
      <c r="H326" s="93"/>
      <c r="I326" s="93"/>
      <c r="J326" s="93"/>
      <c r="K326" s="93"/>
      <c r="L326" s="171"/>
    </row>
    <row r="327" spans="2:14" ht="33" customHeight="1" x14ac:dyDescent="0.2">
      <c r="B327" s="184"/>
      <c r="C327" s="492"/>
      <c r="D327" s="482"/>
      <c r="E327" s="482"/>
      <c r="F327" s="482"/>
      <c r="G327" s="482"/>
      <c r="H327" s="482"/>
      <c r="I327" s="482"/>
      <c r="J327" s="482"/>
      <c r="K327" s="483"/>
      <c r="L327" s="177"/>
      <c r="N327" s="402"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88"/>
      <c r="C329" s="366" t="s">
        <v>1068</v>
      </c>
      <c r="D329" s="72"/>
      <c r="E329" s="132"/>
      <c r="F329" s="132"/>
      <c r="G329" s="132"/>
      <c r="H329" s="132"/>
      <c r="I329" s="132"/>
      <c r="J329" s="132"/>
      <c r="K329" s="132"/>
      <c r="L329" s="177"/>
    </row>
    <row r="330" spans="2:14" ht="33" customHeight="1" x14ac:dyDescent="0.2">
      <c r="B330" s="184"/>
      <c r="C330" s="492"/>
      <c r="D330" s="482"/>
      <c r="E330" s="482"/>
      <c r="F330" s="482"/>
      <c r="G330" s="482"/>
      <c r="H330" s="390"/>
      <c r="I330" s="391"/>
      <c r="J330" s="391"/>
      <c r="K330" s="391"/>
      <c r="L330" s="177"/>
      <c r="N330" s="402"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3"/>
      <c r="C332" s="365" t="s">
        <v>407</v>
      </c>
      <c r="D332" s="116"/>
      <c r="E332" s="132"/>
      <c r="F332" s="132"/>
      <c r="G332" s="132"/>
      <c r="H332" s="132"/>
      <c r="I332" s="132"/>
      <c r="J332" s="132"/>
      <c r="K332" s="132"/>
      <c r="L332" s="177"/>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77"/>
    </row>
    <row r="335" spans="2:14" ht="18" customHeight="1" x14ac:dyDescent="0.2">
      <c r="B335" s="131"/>
      <c r="C335" s="132"/>
      <c r="D335" s="72"/>
      <c r="E335" s="132"/>
      <c r="F335" s="132"/>
      <c r="G335" s="132"/>
      <c r="H335" s="132"/>
      <c r="I335" s="132"/>
      <c r="J335" s="132"/>
      <c r="K335" s="132"/>
      <c r="L335" s="177"/>
    </row>
    <row r="336" spans="2:14" ht="18" customHeight="1" x14ac:dyDescent="0.2">
      <c r="B336" s="131"/>
      <c r="C336" s="132"/>
      <c r="D336" s="72"/>
      <c r="E336" s="132"/>
      <c r="F336" s="132"/>
      <c r="G336" s="132"/>
      <c r="H336" s="132"/>
      <c r="I336" s="132"/>
      <c r="J336" s="132"/>
      <c r="K336" s="132"/>
      <c r="L336" s="177"/>
    </row>
    <row r="337" spans="2:12" ht="18" customHeight="1" x14ac:dyDescent="0.2">
      <c r="B337" s="131"/>
      <c r="C337" s="132"/>
      <c r="D337" s="72"/>
      <c r="E337" s="132"/>
      <c r="F337" s="132"/>
      <c r="G337" s="132"/>
      <c r="H337" s="132"/>
      <c r="I337" s="132"/>
      <c r="J337" s="132"/>
      <c r="K337" s="132"/>
      <c r="L337" s="364"/>
    </row>
    <row r="338" spans="2:12" ht="18" customHeight="1" x14ac:dyDescent="0.2">
      <c r="B338" s="131"/>
      <c r="C338" s="132"/>
      <c r="D338" s="72"/>
      <c r="E338" s="132"/>
      <c r="F338" s="132"/>
      <c r="G338" s="132"/>
      <c r="H338" s="132"/>
      <c r="I338" s="132"/>
      <c r="J338" s="132"/>
      <c r="K338" s="132"/>
      <c r="L338" s="364"/>
    </row>
    <row r="339" spans="2:12" ht="18" customHeight="1" x14ac:dyDescent="0.2">
      <c r="B339" s="131"/>
      <c r="C339" s="132"/>
      <c r="D339" s="72"/>
      <c r="E339" s="132"/>
      <c r="F339" s="132"/>
      <c r="G339" s="132"/>
      <c r="H339" s="132"/>
      <c r="I339" s="132"/>
      <c r="J339" s="132"/>
      <c r="K339" s="132"/>
      <c r="L339" s="364"/>
    </row>
    <row r="340" spans="2:12" ht="18" customHeight="1" x14ac:dyDescent="0.2">
      <c r="B340" s="131"/>
      <c r="C340" s="132"/>
      <c r="D340" s="72"/>
      <c r="E340" s="132"/>
      <c r="F340" s="132"/>
      <c r="G340" s="132"/>
      <c r="H340" s="132"/>
      <c r="I340" s="132"/>
      <c r="J340" s="132"/>
      <c r="K340" s="132"/>
      <c r="L340" s="364"/>
    </row>
    <row r="341" spans="2:12" ht="18" customHeight="1" x14ac:dyDescent="0.2">
      <c r="B341" s="131"/>
      <c r="C341" s="132"/>
      <c r="D341" s="72"/>
      <c r="E341" s="132"/>
      <c r="F341" s="132"/>
      <c r="G341" s="132"/>
      <c r="H341" s="132"/>
      <c r="I341" s="132"/>
      <c r="J341" s="132"/>
      <c r="K341" s="132"/>
      <c r="L341" s="364"/>
    </row>
    <row r="342" spans="2:12" ht="18" customHeight="1" x14ac:dyDescent="0.2">
      <c r="B342" s="131"/>
      <c r="C342" s="132"/>
      <c r="D342" s="72"/>
      <c r="E342" s="132"/>
      <c r="F342" s="132"/>
      <c r="G342" s="132"/>
      <c r="H342" s="132"/>
      <c r="I342" s="132"/>
      <c r="J342" s="132"/>
      <c r="K342" s="132"/>
      <c r="L342" s="364"/>
    </row>
    <row r="343" spans="2:12" ht="18" customHeight="1" x14ac:dyDescent="0.2">
      <c r="B343" s="131"/>
      <c r="C343" s="132"/>
      <c r="D343" s="72"/>
      <c r="E343" s="132"/>
      <c r="F343" s="132"/>
      <c r="G343" s="132"/>
      <c r="H343" s="132"/>
      <c r="I343" s="132"/>
      <c r="J343" s="132"/>
      <c r="K343" s="132"/>
      <c r="L343" s="364"/>
    </row>
    <row r="344" spans="2:12" ht="18" customHeight="1" x14ac:dyDescent="0.2">
      <c r="B344" s="131"/>
      <c r="C344" s="132"/>
      <c r="D344" s="72"/>
      <c r="E344" s="132"/>
      <c r="F344" s="132"/>
      <c r="G344" s="132"/>
      <c r="H344" s="132"/>
      <c r="I344" s="132"/>
      <c r="J344" s="132"/>
      <c r="K344" s="132"/>
      <c r="L344" s="364"/>
    </row>
    <row r="345" spans="2:12" ht="18" customHeight="1" x14ac:dyDescent="0.2">
      <c r="B345" s="131"/>
      <c r="C345" s="132"/>
      <c r="D345" s="72"/>
      <c r="E345" s="132"/>
      <c r="F345" s="132"/>
      <c r="G345" s="132"/>
      <c r="H345" s="132"/>
      <c r="I345" s="132"/>
      <c r="J345" s="132"/>
      <c r="K345" s="132"/>
      <c r="L345" s="364"/>
    </row>
    <row r="346" spans="2:12" ht="18" customHeight="1" x14ac:dyDescent="0.2">
      <c r="B346" s="131"/>
      <c r="C346" s="132"/>
      <c r="D346" s="72"/>
      <c r="E346" s="132"/>
      <c r="F346" s="132"/>
      <c r="G346" s="132"/>
      <c r="H346" s="132"/>
      <c r="I346" s="132"/>
      <c r="J346" s="132"/>
      <c r="K346" s="132"/>
      <c r="L346" s="364"/>
    </row>
    <row r="347" spans="2:12" ht="18" customHeight="1" x14ac:dyDescent="0.2">
      <c r="B347" s="131"/>
      <c r="C347" s="132"/>
      <c r="D347" s="72"/>
      <c r="E347" s="132"/>
      <c r="F347" s="132"/>
      <c r="G347" s="132"/>
      <c r="H347" s="132"/>
      <c r="I347" s="132"/>
      <c r="J347" s="132"/>
      <c r="K347" s="132"/>
      <c r="L347" s="177"/>
    </row>
    <row r="348" spans="2:12" ht="18" customHeight="1" x14ac:dyDescent="0.2">
      <c r="B348" s="131"/>
      <c r="C348" s="132"/>
      <c r="D348" s="72"/>
      <c r="E348" s="132"/>
      <c r="F348" s="132"/>
      <c r="G348" s="132"/>
      <c r="H348" s="132"/>
      <c r="I348" s="132"/>
      <c r="J348" s="132"/>
      <c r="K348" s="132"/>
      <c r="L348" s="177"/>
    </row>
    <row r="349" spans="2:12" ht="18" customHeight="1" x14ac:dyDescent="0.2">
      <c r="B349" s="131"/>
      <c r="C349" s="132"/>
      <c r="D349" s="72"/>
      <c r="E349" s="132"/>
      <c r="F349" s="132"/>
      <c r="G349" s="132"/>
      <c r="H349" s="132"/>
      <c r="I349" s="132"/>
      <c r="J349" s="132"/>
      <c r="K349" s="132"/>
      <c r="L349" s="177"/>
    </row>
    <row r="350" spans="2:12" ht="18" customHeight="1" x14ac:dyDescent="0.2">
      <c r="B350" s="131"/>
      <c r="C350" s="186"/>
      <c r="D350" s="72"/>
      <c r="E350" s="132"/>
      <c r="F350" s="132"/>
      <c r="G350" s="132"/>
      <c r="H350" s="132"/>
      <c r="I350" s="132"/>
      <c r="J350" s="132"/>
      <c r="K350" s="132"/>
      <c r="L350" s="177"/>
    </row>
    <row r="351" spans="2:12" s="78" customFormat="1" ht="4.5" customHeight="1" x14ac:dyDescent="0.2">
      <c r="B351" s="102"/>
      <c r="C351" s="97"/>
      <c r="D351" s="97"/>
      <c r="E351" s="97"/>
      <c r="F351" s="97"/>
      <c r="G351" s="97"/>
      <c r="H351" s="97"/>
      <c r="I351" s="97"/>
      <c r="J351" s="97"/>
      <c r="K351" s="97"/>
      <c r="L351" s="101"/>
    </row>
    <row r="352" spans="2:12" ht="18" customHeight="1" x14ac:dyDescent="0.2">
      <c r="B352" s="188"/>
      <c r="C352" s="366" t="s">
        <v>408</v>
      </c>
      <c r="D352" s="72"/>
      <c r="E352" s="132"/>
      <c r="F352" s="132"/>
      <c r="G352" s="132"/>
      <c r="H352" s="132"/>
      <c r="I352" s="132"/>
      <c r="J352" s="132"/>
      <c r="K352" s="132"/>
      <c r="L352" s="177"/>
    </row>
    <row r="353" spans="2:14" ht="33" customHeight="1" x14ac:dyDescent="0.2">
      <c r="B353" s="184"/>
      <c r="C353" s="492"/>
      <c r="D353" s="482"/>
      <c r="E353" s="482"/>
      <c r="F353" s="482"/>
      <c r="G353" s="482"/>
      <c r="H353" s="482"/>
      <c r="I353" s="482"/>
      <c r="J353" s="482"/>
      <c r="K353" s="483"/>
      <c r="L353" s="177"/>
      <c r="N353" s="402"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88"/>
      <c r="C355" s="366" t="s">
        <v>1068</v>
      </c>
      <c r="D355" s="72"/>
      <c r="E355" s="132"/>
      <c r="F355" s="132"/>
      <c r="G355" s="132"/>
      <c r="H355" s="132"/>
      <c r="I355" s="132"/>
      <c r="J355" s="132"/>
      <c r="K355" s="132"/>
      <c r="L355" s="177"/>
    </row>
    <row r="356" spans="2:14" ht="33" customHeight="1" x14ac:dyDescent="0.2">
      <c r="B356" s="184"/>
      <c r="C356" s="492"/>
      <c r="D356" s="482"/>
      <c r="E356" s="482"/>
      <c r="F356" s="482"/>
      <c r="G356" s="482"/>
      <c r="H356" s="390"/>
      <c r="I356" s="391"/>
      <c r="J356" s="391"/>
      <c r="K356" s="391"/>
      <c r="L356" s="177"/>
      <c r="N356" s="402"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3"/>
      <c r="C358" s="365" t="s">
        <v>409</v>
      </c>
      <c r="D358" s="116"/>
      <c r="E358" s="132"/>
      <c r="F358" s="132"/>
      <c r="G358" s="132"/>
      <c r="H358" s="132"/>
      <c r="I358" s="132"/>
      <c r="J358" s="132"/>
      <c r="K358" s="132"/>
      <c r="L358" s="177"/>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77"/>
    </row>
    <row r="361" spans="2:14" ht="18" customHeight="1" x14ac:dyDescent="0.2">
      <c r="B361" s="131"/>
      <c r="C361" s="132"/>
      <c r="D361" s="72"/>
      <c r="E361" s="132"/>
      <c r="F361" s="132"/>
      <c r="G361" s="132"/>
      <c r="H361" s="132"/>
      <c r="I361" s="132"/>
      <c r="J361" s="132"/>
      <c r="K361" s="132"/>
      <c r="L361" s="177"/>
    </row>
    <row r="362" spans="2:14" ht="18" customHeight="1" x14ac:dyDescent="0.2">
      <c r="B362" s="131"/>
      <c r="C362" s="132"/>
      <c r="D362" s="72"/>
      <c r="E362" s="132"/>
      <c r="F362" s="132"/>
      <c r="G362" s="132"/>
      <c r="H362" s="132"/>
      <c r="I362" s="132"/>
      <c r="J362" s="132"/>
      <c r="K362" s="132"/>
      <c r="L362" s="364"/>
    </row>
    <row r="363" spans="2:14" ht="18" customHeight="1" x14ac:dyDescent="0.2">
      <c r="B363" s="131"/>
      <c r="C363" s="132"/>
      <c r="D363" s="72"/>
      <c r="E363" s="132"/>
      <c r="F363" s="132"/>
      <c r="G363" s="132"/>
      <c r="H363" s="132"/>
      <c r="I363" s="132"/>
      <c r="J363" s="132"/>
      <c r="K363" s="132"/>
      <c r="L363" s="364"/>
    </row>
    <row r="364" spans="2:14" ht="18" customHeight="1" x14ac:dyDescent="0.2">
      <c r="B364" s="131"/>
      <c r="C364" s="132"/>
      <c r="D364" s="72"/>
      <c r="E364" s="132"/>
      <c r="F364" s="132"/>
      <c r="G364" s="132"/>
      <c r="H364" s="132"/>
      <c r="I364" s="132"/>
      <c r="J364" s="132"/>
      <c r="K364" s="132"/>
      <c r="L364" s="364"/>
    </row>
    <row r="365" spans="2:14" ht="18" customHeight="1" x14ac:dyDescent="0.2">
      <c r="B365" s="131"/>
      <c r="C365" s="132"/>
      <c r="D365" s="72"/>
      <c r="E365" s="132"/>
      <c r="F365" s="132"/>
      <c r="G365" s="132"/>
      <c r="H365" s="132"/>
      <c r="I365" s="132"/>
      <c r="J365" s="132"/>
      <c r="K365" s="132"/>
      <c r="L365" s="364"/>
    </row>
    <row r="366" spans="2:14" ht="18" customHeight="1" x14ac:dyDescent="0.2">
      <c r="B366" s="131"/>
      <c r="C366" s="132"/>
      <c r="D366" s="72"/>
      <c r="E366" s="132"/>
      <c r="F366" s="132"/>
      <c r="G366" s="132"/>
      <c r="H366" s="132"/>
      <c r="I366" s="132"/>
      <c r="J366" s="132"/>
      <c r="K366" s="132"/>
      <c r="L366" s="364"/>
    </row>
    <row r="367" spans="2:14" ht="18" customHeight="1" x14ac:dyDescent="0.2">
      <c r="B367" s="131"/>
      <c r="C367" s="132"/>
      <c r="D367" s="72"/>
      <c r="E367" s="132"/>
      <c r="F367" s="132"/>
      <c r="G367" s="132"/>
      <c r="H367" s="132"/>
      <c r="I367" s="132"/>
      <c r="J367" s="132"/>
      <c r="K367" s="132"/>
      <c r="L367" s="364"/>
    </row>
    <row r="368" spans="2:14" ht="18" customHeight="1" x14ac:dyDescent="0.2">
      <c r="B368" s="131"/>
      <c r="C368" s="132"/>
      <c r="D368" s="72"/>
      <c r="E368" s="132"/>
      <c r="F368" s="132"/>
      <c r="G368" s="132"/>
      <c r="H368" s="132"/>
      <c r="I368" s="132"/>
      <c r="J368" s="132"/>
      <c r="K368" s="132"/>
      <c r="L368" s="364"/>
    </row>
    <row r="369" spans="2:14" ht="18" customHeight="1" x14ac:dyDescent="0.2">
      <c r="B369" s="131"/>
      <c r="C369" s="132"/>
      <c r="D369" s="72"/>
      <c r="E369" s="132"/>
      <c r="F369" s="132"/>
      <c r="G369" s="132"/>
      <c r="H369" s="132"/>
      <c r="I369" s="132"/>
      <c r="J369" s="132"/>
      <c r="K369" s="132"/>
      <c r="L369" s="364"/>
    </row>
    <row r="370" spans="2:14" ht="18" customHeight="1" x14ac:dyDescent="0.2">
      <c r="B370" s="131"/>
      <c r="C370" s="132"/>
      <c r="D370" s="72"/>
      <c r="E370" s="132"/>
      <c r="F370" s="132"/>
      <c r="G370" s="132"/>
      <c r="H370" s="132"/>
      <c r="I370" s="132"/>
      <c r="J370" s="132"/>
      <c r="K370" s="132"/>
      <c r="L370" s="364"/>
    </row>
    <row r="371" spans="2:14" ht="18" customHeight="1" x14ac:dyDescent="0.2">
      <c r="B371" s="131"/>
      <c r="C371" s="132"/>
      <c r="D371" s="72"/>
      <c r="E371" s="132"/>
      <c r="F371" s="132"/>
      <c r="G371" s="132"/>
      <c r="H371" s="132"/>
      <c r="I371" s="132"/>
      <c r="J371" s="132"/>
      <c r="K371" s="132"/>
      <c r="L371" s="364"/>
    </row>
    <row r="372" spans="2:14" ht="18" customHeight="1" x14ac:dyDescent="0.2">
      <c r="B372" s="131"/>
      <c r="C372" s="132"/>
      <c r="D372" s="72"/>
      <c r="E372" s="132"/>
      <c r="F372" s="132"/>
      <c r="G372" s="132"/>
      <c r="H372" s="132"/>
      <c r="I372" s="132"/>
      <c r="J372" s="132"/>
      <c r="K372" s="132"/>
      <c r="L372" s="177"/>
    </row>
    <row r="373" spans="2:14" ht="18" customHeight="1" x14ac:dyDescent="0.2">
      <c r="B373" s="131"/>
      <c r="C373" s="132"/>
      <c r="D373" s="72"/>
      <c r="E373" s="132"/>
      <c r="F373" s="132"/>
      <c r="G373" s="132"/>
      <c r="H373" s="132"/>
      <c r="I373" s="132"/>
      <c r="J373" s="132"/>
      <c r="K373" s="132"/>
      <c r="L373" s="177"/>
    </row>
    <row r="374" spans="2:14" ht="18" customHeight="1" x14ac:dyDescent="0.2">
      <c r="B374" s="131"/>
      <c r="C374" s="132"/>
      <c r="D374" s="72"/>
      <c r="E374" s="132"/>
      <c r="F374" s="132"/>
      <c r="G374" s="132"/>
      <c r="H374" s="132"/>
      <c r="I374" s="132"/>
      <c r="J374" s="132"/>
      <c r="K374" s="132"/>
      <c r="L374" s="177"/>
    </row>
    <row r="375" spans="2:14" ht="18" customHeight="1" x14ac:dyDescent="0.2">
      <c r="B375" s="131"/>
      <c r="C375" s="132"/>
      <c r="D375" s="72"/>
      <c r="E375" s="132"/>
      <c r="F375" s="132"/>
      <c r="G375" s="132"/>
      <c r="H375" s="132"/>
      <c r="I375" s="132"/>
      <c r="J375" s="132"/>
      <c r="K375" s="132"/>
      <c r="L375" s="177"/>
    </row>
    <row r="376" spans="2:14" ht="18" customHeight="1" x14ac:dyDescent="0.2">
      <c r="B376" s="131"/>
      <c r="C376" s="132"/>
      <c r="D376" s="72"/>
      <c r="E376" s="132"/>
      <c r="F376" s="132"/>
      <c r="G376" s="132"/>
      <c r="H376" s="132"/>
      <c r="I376" s="132"/>
      <c r="J376" s="132"/>
      <c r="K376" s="132"/>
      <c r="L376" s="177"/>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5"/>
      <c r="C380" s="106"/>
      <c r="D380" s="106"/>
      <c r="E380" s="106"/>
      <c r="F380" s="106"/>
      <c r="G380" s="106"/>
      <c r="H380" s="106"/>
      <c r="I380" s="106"/>
      <c r="J380" s="106"/>
      <c r="K380" s="106"/>
      <c r="L380" s="383"/>
    </row>
    <row r="381" spans="2:14" ht="18" customHeight="1" x14ac:dyDescent="0.2">
      <c r="B381" s="188"/>
      <c r="C381" s="366" t="s">
        <v>410</v>
      </c>
      <c r="D381" s="72"/>
      <c r="E381" s="132"/>
      <c r="F381" s="132"/>
      <c r="G381" s="132"/>
      <c r="H381" s="132"/>
      <c r="I381" s="132"/>
      <c r="J381" s="132"/>
      <c r="K381" s="132"/>
      <c r="L381" s="177"/>
    </row>
    <row r="382" spans="2:14" ht="33" customHeight="1" x14ac:dyDescent="0.2">
      <c r="B382" s="184"/>
      <c r="C382" s="492"/>
      <c r="D382" s="482"/>
      <c r="E382" s="482"/>
      <c r="F382" s="482"/>
      <c r="G382" s="482"/>
      <c r="H382" s="482"/>
      <c r="I382" s="482"/>
      <c r="J382" s="482"/>
      <c r="K382" s="483"/>
      <c r="L382" s="177"/>
      <c r="N382" s="402"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88"/>
      <c r="C384" s="366" t="s">
        <v>1068</v>
      </c>
      <c r="D384" s="72"/>
      <c r="E384" s="132"/>
      <c r="F384" s="132"/>
      <c r="G384" s="132"/>
      <c r="H384" s="132"/>
      <c r="I384" s="132"/>
      <c r="J384" s="132"/>
      <c r="K384" s="132"/>
      <c r="L384" s="177"/>
    </row>
    <row r="385" spans="2:14" ht="33" customHeight="1" x14ac:dyDescent="0.2">
      <c r="B385" s="184"/>
      <c r="C385" s="492"/>
      <c r="D385" s="482"/>
      <c r="E385" s="482"/>
      <c r="F385" s="482"/>
      <c r="G385" s="482"/>
      <c r="H385" s="390"/>
      <c r="I385" s="391"/>
      <c r="J385" s="391"/>
      <c r="K385" s="391"/>
      <c r="L385" s="177"/>
      <c r="N385" s="402"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3"/>
      <c r="C387" s="365" t="s">
        <v>411</v>
      </c>
      <c r="D387" s="116"/>
      <c r="E387" s="132"/>
      <c r="F387" s="132"/>
      <c r="G387" s="132"/>
      <c r="H387" s="132"/>
      <c r="I387" s="132"/>
      <c r="J387" s="132"/>
      <c r="K387" s="132"/>
      <c r="L387" s="177"/>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77"/>
    </row>
    <row r="390" spans="2:14" ht="18" customHeight="1" x14ac:dyDescent="0.2">
      <c r="B390" s="131"/>
      <c r="C390" s="132"/>
      <c r="D390" s="72"/>
      <c r="E390" s="132"/>
      <c r="F390" s="132"/>
      <c r="G390" s="132"/>
      <c r="H390" s="132"/>
      <c r="I390" s="132"/>
      <c r="J390" s="132"/>
      <c r="K390" s="132"/>
      <c r="L390" s="177"/>
    </row>
    <row r="391" spans="2:14" ht="18" customHeight="1" x14ac:dyDescent="0.2">
      <c r="B391" s="131"/>
      <c r="C391" s="132"/>
      <c r="D391" s="72"/>
      <c r="E391" s="132"/>
      <c r="F391" s="132"/>
      <c r="G391" s="132"/>
      <c r="H391" s="132"/>
      <c r="I391" s="132"/>
      <c r="J391" s="132"/>
      <c r="K391" s="132"/>
      <c r="L391" s="364"/>
    </row>
    <row r="392" spans="2:14" ht="18" customHeight="1" x14ac:dyDescent="0.2">
      <c r="B392" s="131"/>
      <c r="C392" s="132"/>
      <c r="D392" s="72"/>
      <c r="E392" s="132"/>
      <c r="F392" s="132"/>
      <c r="G392" s="132"/>
      <c r="H392" s="132"/>
      <c r="I392" s="132"/>
      <c r="J392" s="132"/>
      <c r="K392" s="132"/>
      <c r="L392" s="364"/>
    </row>
    <row r="393" spans="2:14" ht="18" customHeight="1" x14ac:dyDescent="0.2">
      <c r="B393" s="131"/>
      <c r="C393" s="132"/>
      <c r="D393" s="72"/>
      <c r="E393" s="132"/>
      <c r="F393" s="132"/>
      <c r="G393" s="132"/>
      <c r="H393" s="132"/>
      <c r="I393" s="132"/>
      <c r="J393" s="132"/>
      <c r="K393" s="132"/>
      <c r="L393" s="364"/>
    </row>
    <row r="394" spans="2:14" ht="18" customHeight="1" x14ac:dyDescent="0.2">
      <c r="B394" s="131"/>
      <c r="C394" s="132"/>
      <c r="D394" s="72"/>
      <c r="E394" s="132"/>
      <c r="F394" s="132"/>
      <c r="G394" s="132"/>
      <c r="H394" s="132"/>
      <c r="I394" s="132"/>
      <c r="J394" s="132"/>
      <c r="K394" s="132"/>
      <c r="L394" s="364"/>
    </row>
    <row r="395" spans="2:14" ht="18" customHeight="1" x14ac:dyDescent="0.2">
      <c r="B395" s="131"/>
      <c r="C395" s="132"/>
      <c r="D395" s="72"/>
      <c r="E395" s="132"/>
      <c r="F395" s="132"/>
      <c r="G395" s="132"/>
      <c r="H395" s="132"/>
      <c r="I395" s="132"/>
      <c r="J395" s="132"/>
      <c r="K395" s="132"/>
      <c r="L395" s="364"/>
    </row>
    <row r="396" spans="2:14" ht="18" customHeight="1" x14ac:dyDescent="0.2">
      <c r="B396" s="131"/>
      <c r="C396" s="132"/>
      <c r="D396" s="72"/>
      <c r="E396" s="132"/>
      <c r="F396" s="132"/>
      <c r="G396" s="132"/>
      <c r="H396" s="132"/>
      <c r="I396" s="132"/>
      <c r="J396" s="132"/>
      <c r="K396" s="132"/>
      <c r="L396" s="364"/>
    </row>
    <row r="397" spans="2:14" ht="18" customHeight="1" x14ac:dyDescent="0.2">
      <c r="B397" s="131"/>
      <c r="C397" s="132"/>
      <c r="D397" s="72"/>
      <c r="E397" s="132"/>
      <c r="F397" s="132"/>
      <c r="G397" s="132"/>
      <c r="H397" s="132"/>
      <c r="I397" s="132"/>
      <c r="J397" s="132"/>
      <c r="K397" s="132"/>
      <c r="L397" s="364"/>
    </row>
    <row r="398" spans="2:14" ht="18" customHeight="1" x14ac:dyDescent="0.2">
      <c r="B398" s="131"/>
      <c r="C398" s="132"/>
      <c r="D398" s="72"/>
      <c r="E398" s="132"/>
      <c r="F398" s="132"/>
      <c r="G398" s="132"/>
      <c r="H398" s="132"/>
      <c r="I398" s="132"/>
      <c r="J398" s="132"/>
      <c r="K398" s="132"/>
      <c r="L398" s="364"/>
    </row>
    <row r="399" spans="2:14" ht="18" customHeight="1" x14ac:dyDescent="0.2">
      <c r="B399" s="131"/>
      <c r="C399" s="132"/>
      <c r="D399" s="72"/>
      <c r="E399" s="132"/>
      <c r="F399" s="132"/>
      <c r="G399" s="132"/>
      <c r="H399" s="132"/>
      <c r="I399" s="132"/>
      <c r="J399" s="132"/>
      <c r="K399" s="132"/>
      <c r="L399" s="364"/>
    </row>
    <row r="400" spans="2:14" ht="18" customHeight="1" x14ac:dyDescent="0.2">
      <c r="B400" s="131"/>
      <c r="C400" s="132"/>
      <c r="D400" s="72"/>
      <c r="E400" s="132"/>
      <c r="F400" s="132"/>
      <c r="G400" s="132"/>
      <c r="H400" s="132"/>
      <c r="I400" s="132"/>
      <c r="J400" s="132"/>
      <c r="K400" s="132"/>
      <c r="L400" s="364"/>
    </row>
    <row r="401" spans="2:14" ht="18" customHeight="1" x14ac:dyDescent="0.2">
      <c r="B401" s="131"/>
      <c r="C401" s="132"/>
      <c r="D401" s="72"/>
      <c r="E401" s="132"/>
      <c r="F401" s="132"/>
      <c r="G401" s="132"/>
      <c r="H401" s="132"/>
      <c r="I401" s="132"/>
      <c r="J401" s="132"/>
      <c r="K401" s="132"/>
      <c r="L401" s="177"/>
    </row>
    <row r="402" spans="2:14" ht="18" customHeight="1" x14ac:dyDescent="0.2">
      <c r="B402" s="131"/>
      <c r="C402" s="132"/>
      <c r="D402" s="72"/>
      <c r="E402" s="132"/>
      <c r="F402" s="132"/>
      <c r="G402" s="132"/>
      <c r="H402" s="132"/>
      <c r="I402" s="132"/>
      <c r="J402" s="132"/>
      <c r="K402" s="132"/>
      <c r="L402" s="177"/>
    </row>
    <row r="403" spans="2:14" ht="18" customHeight="1" x14ac:dyDescent="0.2">
      <c r="B403" s="131"/>
      <c r="C403" s="132"/>
      <c r="D403" s="72"/>
      <c r="E403" s="132"/>
      <c r="F403" s="132"/>
      <c r="G403" s="132"/>
      <c r="H403" s="132"/>
      <c r="I403" s="132"/>
      <c r="J403" s="132"/>
      <c r="K403" s="132"/>
      <c r="L403" s="177"/>
    </row>
    <row r="404" spans="2:14" ht="18" customHeight="1" x14ac:dyDescent="0.2">
      <c r="B404" s="131"/>
      <c r="C404" s="132"/>
      <c r="D404" s="72"/>
      <c r="E404" s="132"/>
      <c r="F404" s="132"/>
      <c r="G404" s="132"/>
      <c r="H404" s="132"/>
      <c r="I404" s="132"/>
      <c r="J404" s="132"/>
      <c r="K404" s="132"/>
      <c r="L404" s="177"/>
    </row>
    <row r="405" spans="2:14" ht="18" customHeight="1" x14ac:dyDescent="0.2">
      <c r="B405" s="131"/>
      <c r="C405" s="132"/>
      <c r="D405" s="72"/>
      <c r="E405" s="132"/>
      <c r="F405" s="132"/>
      <c r="G405" s="132"/>
      <c r="H405" s="132"/>
      <c r="I405" s="132"/>
      <c r="J405" s="132"/>
      <c r="K405" s="132"/>
      <c r="L405" s="177"/>
    </row>
    <row r="406" spans="2:14" s="78" customFormat="1" ht="4.5" customHeight="1" x14ac:dyDescent="0.2">
      <c r="B406" s="102"/>
      <c r="C406" s="97"/>
      <c r="D406" s="97"/>
      <c r="E406" s="97"/>
      <c r="F406" s="97"/>
      <c r="G406" s="97"/>
      <c r="H406" s="97"/>
      <c r="I406" s="97"/>
      <c r="J406" s="97"/>
      <c r="K406" s="97"/>
      <c r="L406" s="101"/>
    </row>
    <row r="407" spans="2:14" ht="18" customHeight="1" x14ac:dyDescent="0.2">
      <c r="B407" s="188"/>
      <c r="C407" s="366" t="s">
        <v>412</v>
      </c>
      <c r="D407" s="72"/>
      <c r="E407" s="132"/>
      <c r="F407" s="132"/>
      <c r="G407" s="132"/>
      <c r="H407" s="132"/>
      <c r="I407" s="132"/>
      <c r="J407" s="132"/>
      <c r="K407" s="132"/>
      <c r="L407" s="177"/>
    </row>
    <row r="408" spans="2:14" ht="33" customHeight="1" x14ac:dyDescent="0.2">
      <c r="B408" s="184"/>
      <c r="C408" s="492"/>
      <c r="D408" s="482"/>
      <c r="E408" s="482"/>
      <c r="F408" s="482"/>
      <c r="G408" s="482"/>
      <c r="H408" s="482"/>
      <c r="I408" s="482"/>
      <c r="J408" s="482"/>
      <c r="K408" s="483"/>
      <c r="L408" s="177"/>
      <c r="N408" s="402"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88"/>
      <c r="C410" s="366" t="s">
        <v>1068</v>
      </c>
      <c r="D410" s="72"/>
      <c r="E410" s="132"/>
      <c r="F410" s="132"/>
      <c r="G410" s="132"/>
      <c r="H410" s="132"/>
      <c r="I410" s="132"/>
      <c r="J410" s="132"/>
      <c r="K410" s="132"/>
      <c r="L410" s="177"/>
    </row>
    <row r="411" spans="2:14" ht="33" customHeight="1" x14ac:dyDescent="0.2">
      <c r="B411" s="184"/>
      <c r="C411" s="492"/>
      <c r="D411" s="482"/>
      <c r="E411" s="482"/>
      <c r="F411" s="482"/>
      <c r="G411" s="482"/>
      <c r="H411" s="390"/>
      <c r="I411" s="391"/>
      <c r="J411" s="391"/>
      <c r="K411" s="391"/>
      <c r="L411" s="177"/>
      <c r="N411" s="402"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3"/>
      <c r="C413" s="365" t="s">
        <v>413</v>
      </c>
      <c r="D413" s="116"/>
      <c r="E413" s="132"/>
      <c r="F413" s="132"/>
      <c r="G413" s="132"/>
      <c r="H413" s="132"/>
      <c r="I413" s="132"/>
      <c r="J413" s="132"/>
      <c r="K413" s="132"/>
      <c r="L413" s="177"/>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77"/>
    </row>
    <row r="416" spans="2:14" ht="18" customHeight="1" x14ac:dyDescent="0.2">
      <c r="B416" s="131"/>
      <c r="C416" s="132"/>
      <c r="D416" s="72"/>
      <c r="E416" s="132"/>
      <c r="F416" s="132"/>
      <c r="G416" s="132"/>
      <c r="H416" s="132"/>
      <c r="I416" s="132"/>
      <c r="J416" s="132"/>
      <c r="K416" s="132"/>
      <c r="L416" s="177"/>
    </row>
    <row r="417" spans="2:12" ht="18" customHeight="1" x14ac:dyDescent="0.2">
      <c r="B417" s="131"/>
      <c r="C417" s="132"/>
      <c r="D417" s="72"/>
      <c r="E417" s="132"/>
      <c r="F417" s="132"/>
      <c r="G417" s="132"/>
      <c r="H417" s="132"/>
      <c r="I417" s="132"/>
      <c r="J417" s="132"/>
      <c r="K417" s="132"/>
      <c r="L417" s="364"/>
    </row>
    <row r="418" spans="2:12" ht="18" customHeight="1" x14ac:dyDescent="0.2">
      <c r="B418" s="131"/>
      <c r="C418" s="132"/>
      <c r="D418" s="72"/>
      <c r="E418" s="132"/>
      <c r="F418" s="132"/>
      <c r="G418" s="132"/>
      <c r="H418" s="132"/>
      <c r="I418" s="132"/>
      <c r="J418" s="132"/>
      <c r="K418" s="132"/>
      <c r="L418" s="364"/>
    </row>
    <row r="419" spans="2:12" ht="18" customHeight="1" x14ac:dyDescent="0.2">
      <c r="B419" s="131"/>
      <c r="C419" s="132"/>
      <c r="D419" s="72"/>
      <c r="E419" s="132"/>
      <c r="F419" s="132"/>
      <c r="G419" s="132"/>
      <c r="H419" s="132"/>
      <c r="I419" s="132"/>
      <c r="J419" s="132"/>
      <c r="K419" s="132"/>
      <c r="L419" s="364"/>
    </row>
    <row r="420" spans="2:12" ht="18" customHeight="1" x14ac:dyDescent="0.2">
      <c r="B420" s="131"/>
      <c r="C420" s="132"/>
      <c r="D420" s="72"/>
      <c r="E420" s="132"/>
      <c r="F420" s="132"/>
      <c r="G420" s="132"/>
      <c r="H420" s="132"/>
      <c r="I420" s="132"/>
      <c r="J420" s="132"/>
      <c r="K420" s="132"/>
      <c r="L420" s="364"/>
    </row>
    <row r="421" spans="2:12" ht="18" customHeight="1" x14ac:dyDescent="0.2">
      <c r="B421" s="131"/>
      <c r="C421" s="132"/>
      <c r="D421" s="72"/>
      <c r="E421" s="132"/>
      <c r="F421" s="132"/>
      <c r="G421" s="132"/>
      <c r="H421" s="132"/>
      <c r="I421" s="132"/>
      <c r="J421" s="132"/>
      <c r="K421" s="132"/>
      <c r="L421" s="364"/>
    </row>
    <row r="422" spans="2:12" ht="18" customHeight="1" x14ac:dyDescent="0.2">
      <c r="B422" s="131"/>
      <c r="C422" s="132"/>
      <c r="D422" s="72"/>
      <c r="E422" s="132"/>
      <c r="F422" s="132"/>
      <c r="G422" s="132"/>
      <c r="H422" s="132"/>
      <c r="I422" s="132"/>
      <c r="J422" s="132"/>
      <c r="K422" s="132"/>
      <c r="L422" s="364"/>
    </row>
    <row r="423" spans="2:12" ht="18" customHeight="1" x14ac:dyDescent="0.2">
      <c r="B423" s="131"/>
      <c r="C423" s="132"/>
      <c r="D423" s="72"/>
      <c r="E423" s="132"/>
      <c r="F423" s="132"/>
      <c r="G423" s="132"/>
      <c r="H423" s="132"/>
      <c r="I423" s="132"/>
      <c r="J423" s="132"/>
      <c r="K423" s="132"/>
      <c r="L423" s="364"/>
    </row>
    <row r="424" spans="2:12" ht="18" customHeight="1" x14ac:dyDescent="0.2">
      <c r="B424" s="131"/>
      <c r="C424" s="132"/>
      <c r="D424" s="72"/>
      <c r="E424" s="132"/>
      <c r="F424" s="132"/>
      <c r="G424" s="132"/>
      <c r="H424" s="132"/>
      <c r="I424" s="132"/>
      <c r="J424" s="132"/>
      <c r="K424" s="132"/>
      <c r="L424" s="364"/>
    </row>
    <row r="425" spans="2:12" ht="18" customHeight="1" x14ac:dyDescent="0.2">
      <c r="B425" s="131"/>
      <c r="C425" s="132"/>
      <c r="D425" s="72"/>
      <c r="E425" s="132"/>
      <c r="F425" s="132"/>
      <c r="G425" s="132"/>
      <c r="H425" s="132"/>
      <c r="I425" s="132"/>
      <c r="J425" s="132"/>
      <c r="K425" s="132"/>
      <c r="L425" s="364"/>
    </row>
    <row r="426" spans="2:12" ht="18" customHeight="1" x14ac:dyDescent="0.2">
      <c r="B426" s="131"/>
      <c r="C426" s="132"/>
      <c r="D426" s="72"/>
      <c r="E426" s="132"/>
      <c r="F426" s="132"/>
      <c r="G426" s="132"/>
      <c r="H426" s="132"/>
      <c r="I426" s="132"/>
      <c r="J426" s="132"/>
      <c r="K426" s="132"/>
      <c r="L426" s="364"/>
    </row>
    <row r="427" spans="2:12" ht="18" customHeight="1" x14ac:dyDescent="0.2">
      <c r="B427" s="131"/>
      <c r="C427" s="132"/>
      <c r="D427" s="72"/>
      <c r="E427" s="132"/>
      <c r="F427" s="132"/>
      <c r="G427" s="132"/>
      <c r="H427" s="132"/>
      <c r="I427" s="132"/>
      <c r="J427" s="132"/>
      <c r="K427" s="132"/>
      <c r="L427" s="177"/>
    </row>
    <row r="428" spans="2:12" ht="18" customHeight="1" x14ac:dyDescent="0.2">
      <c r="B428" s="131"/>
      <c r="C428" s="132"/>
      <c r="D428" s="72"/>
      <c r="E428" s="132"/>
      <c r="F428" s="132"/>
      <c r="G428" s="132"/>
      <c r="H428" s="132"/>
      <c r="I428" s="132"/>
      <c r="J428" s="132"/>
      <c r="K428" s="132"/>
      <c r="L428" s="177"/>
    </row>
    <row r="429" spans="2:12" ht="18" customHeight="1" x14ac:dyDescent="0.2">
      <c r="B429" s="131"/>
      <c r="C429" s="132"/>
      <c r="D429" s="72"/>
      <c r="E429" s="132"/>
      <c r="F429" s="132"/>
      <c r="G429" s="132"/>
      <c r="H429" s="132"/>
      <c r="I429" s="132"/>
      <c r="J429" s="132"/>
      <c r="K429" s="132"/>
      <c r="L429" s="177"/>
    </row>
    <row r="430" spans="2:12" ht="18" customHeight="1" x14ac:dyDescent="0.2">
      <c r="B430" s="131"/>
      <c r="C430" s="132"/>
      <c r="D430" s="72"/>
      <c r="E430" s="132"/>
      <c r="F430" s="132"/>
      <c r="G430" s="132"/>
      <c r="H430" s="132"/>
      <c r="I430" s="132"/>
      <c r="J430" s="132"/>
      <c r="K430" s="132"/>
      <c r="L430" s="364"/>
    </row>
    <row r="431" spans="2:12" ht="18" customHeight="1" x14ac:dyDescent="0.2">
      <c r="B431" s="131"/>
      <c r="C431" s="132"/>
      <c r="D431" s="72"/>
      <c r="E431" s="132"/>
      <c r="F431" s="132"/>
      <c r="G431" s="132"/>
      <c r="H431" s="132"/>
      <c r="I431" s="132"/>
      <c r="J431" s="132"/>
      <c r="K431" s="132"/>
      <c r="L431" s="177"/>
    </row>
    <row r="432" spans="2:12" ht="18" customHeight="1" x14ac:dyDescent="0.2">
      <c r="B432" s="131"/>
      <c r="C432" s="132"/>
      <c r="D432" s="72"/>
      <c r="E432" s="132"/>
      <c r="F432" s="132"/>
      <c r="G432" s="132"/>
      <c r="H432" s="132"/>
      <c r="I432" s="132"/>
      <c r="J432" s="132"/>
      <c r="K432" s="132"/>
      <c r="L432" s="177"/>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79" t="s">
        <v>1026</v>
      </c>
      <c r="C434" s="179"/>
      <c r="D434" s="189"/>
      <c r="E434" s="189"/>
      <c r="F434" s="189"/>
      <c r="G434" s="189"/>
      <c r="H434" s="189"/>
      <c r="I434" s="189"/>
      <c r="J434" s="189"/>
      <c r="K434" s="189"/>
      <c r="L434" s="190"/>
    </row>
    <row r="435" spans="2:15" s="78" customFormat="1" ht="23.25" customHeight="1" x14ac:dyDescent="0.2">
      <c r="B435" s="242" t="s">
        <v>1027</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68"/>
      <c r="C437" s="479" t="s">
        <v>87</v>
      </c>
      <c r="D437" s="502"/>
      <c r="E437" s="167" t="s">
        <v>414</v>
      </c>
      <c r="F437" s="167" t="s">
        <v>415</v>
      </c>
      <c r="G437" s="167" t="s">
        <v>88</v>
      </c>
      <c r="H437" s="167" t="s">
        <v>89</v>
      </c>
      <c r="I437" s="479" t="s">
        <v>90</v>
      </c>
      <c r="J437" s="480"/>
      <c r="K437" s="480"/>
      <c r="L437" s="387" t="s">
        <v>1271</v>
      </c>
    </row>
    <row r="438" spans="2:15" ht="75" customHeight="1" x14ac:dyDescent="0.2">
      <c r="B438" s="251"/>
      <c r="C438" s="502" t="s">
        <v>651</v>
      </c>
      <c r="D438" s="502"/>
      <c r="E438" s="252" t="str">
        <f t="array" aca="1" ref="E438" ca="1">IF($C438="","",OFFSET(INDIRECT(VLOOKUP(programme_outcome,outcomes_table,3,FALSE)),MATCH($C438,INDIRECT(VLOOKUP(programme_outcome,outcomes_table,3,FALSE)),0)-1,2))</f>
        <v>Reported</v>
      </c>
      <c r="F438" s="252" t="str">
        <f t="array" aca="1" ref="F438" ca="1">IF($C438="","",OFFSET(INDIRECT(VLOOKUP(programme_outcome,outcomes_table,3,FALSE)),MATCH($C438,INDIRECT(VLOOKUP(programme_outcome,outcomes_table,3,FALSE)),0)-1,1))</f>
        <v>Outcome</v>
      </c>
      <c r="G438" s="267"/>
      <c r="H438" s="267"/>
      <c r="I438" s="562"/>
      <c r="J438" s="482"/>
      <c r="K438" s="483"/>
      <c r="L438" s="393" t="str">
        <f t="array" aca="1" ref="L438" ca="1">IF($C438="","",OFFSET(INDIRECT(VLOOKUP(programme_outcome,outcomes_table,3,FALSE)),MATCH($C438,INDIRECT(VLOOKUP(programme_outcome,outcomes_table,3,FALSE)),0)-1,3))</f>
        <v>DGV_OTC2_IND1</v>
      </c>
      <c r="M438" s="259"/>
      <c r="O438" s="185"/>
    </row>
    <row r="439" spans="2:15" ht="75" customHeight="1" x14ac:dyDescent="0.2">
      <c r="B439" s="251"/>
      <c r="C439" s="502" t="s">
        <v>1530</v>
      </c>
      <c r="D439" s="502"/>
      <c r="E439" s="252" t="str">
        <f t="array" aca="1" ref="E439" ca="1">IF($C439="","",OFFSET(INDIRECT(VLOOKUP(programme_outcome,outcomes_table,3,FALSE)),MATCH($C439,INDIRECT(VLOOKUP(programme_outcome,outcomes_table,3,FALSE)),0)-1,2))</f>
        <v>Reported</v>
      </c>
      <c r="F439" s="252" t="str">
        <f t="array" aca="1" ref="F439" ca="1">IF($C439="","",OFFSET(INDIRECT(VLOOKUP(programme_outcome,outcomes_table,3,FALSE)),MATCH($C439,INDIRECT(VLOOKUP(programme_outcome,outcomes_table,3,FALSE)),0)-1,1))</f>
        <v>Outcome</v>
      </c>
      <c r="G439" s="450"/>
      <c r="H439" s="450"/>
      <c r="I439" s="481"/>
      <c r="J439" s="482"/>
      <c r="K439" s="483"/>
      <c r="L439" s="393" t="str">
        <f t="array" aca="1" ref="L439" ca="1">IF($C439="","",OFFSET(INDIRECT(VLOOKUP(programme_outcome,outcomes_table,3,FALSE)),MATCH($C439,INDIRECT(VLOOKUP(programme_outcome,outcomes_table,3,FALSE)),0)-1,3))</f>
        <v>DGV_OTC2_IND2</v>
      </c>
      <c r="M439" s="259"/>
      <c r="O439" s="185"/>
    </row>
    <row r="440" spans="2:15" ht="75" customHeight="1" x14ac:dyDescent="0.2">
      <c r="B440" s="251"/>
      <c r="C440" s="502" t="s">
        <v>652</v>
      </c>
      <c r="D440" s="502"/>
      <c r="E440" s="252" t="str">
        <f t="array" aca="1" ref="E440" ca="1">IF($C440="","",OFFSET(INDIRECT(VLOOKUP(programme_outcome,outcomes_table,3,FALSE)),MATCH($C440,INDIRECT(VLOOKUP(programme_outcome,outcomes_table,3,FALSE)),0)-1,2))</f>
        <v>Binding</v>
      </c>
      <c r="F440" s="252" t="str">
        <f t="array" aca="1" ref="F440" ca="1">IF($C440="","",OFFSET(INDIRECT(VLOOKUP(programme_outcome,outcomes_table,3,FALSE)),MATCH($C440,INDIRECT(VLOOKUP(programme_outcome,outcomes_table,3,FALSE)),0)-1,1))</f>
        <v>Output</v>
      </c>
      <c r="G440" s="451">
        <v>0</v>
      </c>
      <c r="H440" s="456"/>
      <c r="I440" s="562"/>
      <c r="J440" s="482"/>
      <c r="K440" s="483"/>
      <c r="L440" s="393" t="str">
        <f t="array" aca="1" ref="L440" ca="1">IF($C440="","",OFFSET(INDIRECT(VLOOKUP(programme_outcome,outcomes_table,3,FALSE)),MATCH($C440,INDIRECT(VLOOKUP(programme_outcome,outcomes_table,3,FALSE)),0)-1,3))</f>
        <v>DGV_OTC2_OTP1_IND1</v>
      </c>
      <c r="M440" s="259"/>
    </row>
    <row r="441" spans="2:15" ht="75" customHeight="1" x14ac:dyDescent="0.2">
      <c r="B441" s="251"/>
      <c r="C441" s="502" t="s">
        <v>653</v>
      </c>
      <c r="D441" s="502"/>
      <c r="E441" s="252" t="str">
        <f t="array" aca="1" ref="E441" ca="1">IF($C441="","",OFFSET(INDIRECT(VLOOKUP(programme_outcome,outcomes_table,3,FALSE)),MATCH($C441,INDIRECT(VLOOKUP(programme_outcome,outcomes_table,3,FALSE)),0)-1,2))</f>
        <v>Binding</v>
      </c>
      <c r="F441" s="252" t="str">
        <f t="array" aca="1" ref="F441" ca="1">IF($C441="","",OFFSET(INDIRECT(VLOOKUP(programme_outcome,outcomes_table,3,FALSE)),MATCH($C441,INDIRECT(VLOOKUP(programme_outcome,outcomes_table,3,FALSE)),0)-1,1))</f>
        <v>Output</v>
      </c>
      <c r="G441" s="451">
        <v>0</v>
      </c>
      <c r="H441" s="267"/>
      <c r="I441" s="481"/>
      <c r="J441" s="482"/>
      <c r="K441" s="483"/>
      <c r="L441" s="393" t="str">
        <f t="array" aca="1" ref="L441" ca="1">IF($C441="","",OFFSET(INDIRECT(VLOOKUP(programme_outcome,outcomes_table,3,FALSE)),MATCH($C441,INDIRECT(VLOOKUP(programme_outcome,outcomes_table,3,FALSE)),0)-1,3))</f>
        <v>DGV_OTC2_OTP1_IND2</v>
      </c>
      <c r="M441" s="259"/>
    </row>
    <row r="442" spans="2:15" ht="75" customHeight="1" x14ac:dyDescent="0.2">
      <c r="B442" s="251"/>
      <c r="C442" s="502" t="s">
        <v>654</v>
      </c>
      <c r="D442" s="502"/>
      <c r="E442" s="252" t="str">
        <f t="array" aca="1" ref="E442" ca="1">IF($C442="","",OFFSET(INDIRECT(VLOOKUP(programme_outcome,outcomes_table,3,FALSE)),MATCH($C442,INDIRECT(VLOOKUP(programme_outcome,outcomes_table,3,FALSE)),0)-1,2))</f>
        <v>Binding</v>
      </c>
      <c r="F442" s="252" t="str">
        <f t="array" aca="1" ref="F442" ca="1">IF($C442="","",OFFSET(INDIRECT(VLOOKUP(programme_outcome,outcomes_table,3,FALSE)),MATCH($C442,INDIRECT(VLOOKUP(programme_outcome,outcomes_table,3,FALSE)),0)-1,1))</f>
        <v>Output</v>
      </c>
      <c r="G442" s="451">
        <v>0</v>
      </c>
      <c r="H442" s="267"/>
      <c r="I442" s="481"/>
      <c r="J442" s="482"/>
      <c r="K442" s="483"/>
      <c r="L442" s="393" t="str">
        <f t="array" aca="1" ref="L442" ca="1">IF($C442="","",OFFSET(INDIRECT(VLOOKUP(programme_outcome,outcomes_table,3,FALSE)),MATCH($C442,INDIRECT(VLOOKUP(programme_outcome,outcomes_table,3,FALSE)),0)-1,3))</f>
        <v>DGV_OTC2_OTP1_IND3</v>
      </c>
      <c r="M442" s="259"/>
    </row>
    <row r="443" spans="2:15" ht="75" customHeight="1" x14ac:dyDescent="0.2">
      <c r="B443" s="251"/>
      <c r="C443" s="502" t="s">
        <v>655</v>
      </c>
      <c r="D443" s="502"/>
      <c r="E443" s="252" t="str">
        <f t="array" aca="1" ref="E443" ca="1">IF($C443="","",OFFSET(INDIRECT(VLOOKUP(programme_outcome,outcomes_table,3,FALSE)),MATCH($C443,INDIRECT(VLOOKUP(programme_outcome,outcomes_table,3,FALSE)),0)-1,2))</f>
        <v>Binding</v>
      </c>
      <c r="F443" s="252" t="str">
        <f t="array" aca="1" ref="F443" ca="1">IF($C443="","",OFFSET(INDIRECT(VLOOKUP(programme_outcome,outcomes_table,3,FALSE)),MATCH($C443,INDIRECT(VLOOKUP(programme_outcome,outcomes_table,3,FALSE)),0)-1,1))</f>
        <v>Output</v>
      </c>
      <c r="G443" s="451">
        <v>0</v>
      </c>
      <c r="H443" s="267"/>
      <c r="I443" s="481"/>
      <c r="J443" s="482"/>
      <c r="K443" s="483"/>
      <c r="L443" s="393" t="str">
        <f t="array" aca="1" ref="L443" ca="1">IF($C443="","",OFFSET(INDIRECT(VLOOKUP(programme_outcome,outcomes_table,3,FALSE)),MATCH($C443,INDIRECT(VLOOKUP(programme_outcome,outcomes_table,3,FALSE)),0)-1,3))</f>
        <v>DGV_OTC2_OTP1_IND4</v>
      </c>
      <c r="M443" s="259"/>
    </row>
    <row r="444" spans="2:15" ht="75" customHeight="1" x14ac:dyDescent="0.2">
      <c r="B444" s="251"/>
      <c r="C444" s="502" t="s">
        <v>1148</v>
      </c>
      <c r="D444" s="502"/>
      <c r="E444" s="252" t="str">
        <f t="array" aca="1" ref="E444" ca="1">IF($C444="","",OFFSET(INDIRECT(VLOOKUP(programme_outcome,outcomes_table,3,FALSE)),MATCH($C444,INDIRECT(VLOOKUP(programme_outcome,outcomes_table,3,FALSE)),0)-1,2))</f>
        <v>Binding</v>
      </c>
      <c r="F444" s="252" t="str">
        <f t="array" aca="1" ref="F444" ca="1">IF($C444="","",OFFSET(INDIRECT(VLOOKUP(programme_outcome,outcomes_table,3,FALSE)),MATCH($C444,INDIRECT(VLOOKUP(programme_outcome,outcomes_table,3,FALSE)),0)-1,1))</f>
        <v>Output</v>
      </c>
      <c r="G444" s="451">
        <v>0</v>
      </c>
      <c r="H444" s="267"/>
      <c r="I444" s="481"/>
      <c r="J444" s="482"/>
      <c r="K444" s="483"/>
      <c r="L444" s="393" t="str">
        <f t="array" aca="1" ref="L444" ca="1">IF($C444="","",OFFSET(INDIRECT(VLOOKUP(programme_outcome,outcomes_table,3,FALSE)),MATCH($C444,INDIRECT(VLOOKUP(programme_outcome,outcomes_table,3,FALSE)),0)-1,3))</f>
        <v>DGV_OTC2_OTP2_IND1</v>
      </c>
      <c r="M444" s="259"/>
    </row>
    <row r="445" spans="2:15" ht="75" customHeight="1" x14ac:dyDescent="0.2">
      <c r="B445" s="251"/>
      <c r="C445" s="563" t="s">
        <v>1149</v>
      </c>
      <c r="D445" s="530"/>
      <c r="E445" s="252" t="str">
        <f t="array" aca="1" ref="E445" ca="1">IF($C445="","",OFFSET(INDIRECT(VLOOKUP(programme_outcome,outcomes_table,3,FALSE)),MATCH($C445,INDIRECT(VLOOKUP(programme_outcome,outcomes_table,3,FALSE)),0)-1,2))</f>
        <v>Binding</v>
      </c>
      <c r="F445" s="252" t="str">
        <f t="array" aca="1" ref="F445" ca="1">IF($C445="","",OFFSET(INDIRECT(VLOOKUP(programme_outcome,outcomes_table,3,FALSE)),MATCH($C445,INDIRECT(VLOOKUP(programme_outcome,outcomes_table,3,FALSE)),0)-1,1))</f>
        <v>Output</v>
      </c>
      <c r="G445" s="451">
        <v>0</v>
      </c>
      <c r="H445" s="267"/>
      <c r="I445" s="481"/>
      <c r="J445" s="482"/>
      <c r="K445" s="483"/>
      <c r="L445" s="393" t="str">
        <f t="array" aca="1" ref="L445" ca="1">IF($C445="","",OFFSET(INDIRECT(VLOOKUP(programme_outcome,outcomes_table,3,FALSE)),MATCH($C445,INDIRECT(VLOOKUP(programme_outcome,outcomes_table,3,FALSE)),0)-1,3))</f>
        <v>DGV_OTC2_OTP2_IND2</v>
      </c>
      <c r="M445" s="259"/>
    </row>
    <row r="446" spans="2:15" ht="75" customHeight="1" x14ac:dyDescent="0.2">
      <c r="B446" s="251"/>
      <c r="C446" s="563" t="s">
        <v>656</v>
      </c>
      <c r="D446" s="530"/>
      <c r="E446" s="252" t="str">
        <f t="array" aca="1" ref="E446" ca="1">IF($C446="","",OFFSET(INDIRECT(VLOOKUP(programme_outcome,outcomes_table,3,FALSE)),MATCH($C446,INDIRECT(VLOOKUP(programme_outcome,outcomes_table,3,FALSE)),0)-1,2))</f>
        <v>Binding</v>
      </c>
      <c r="F446" s="252" t="str">
        <f t="array" aca="1" ref="F446" ca="1">IF($C446="","",OFFSET(INDIRECT(VLOOKUP(programme_outcome,outcomes_table,3,FALSE)),MATCH($C446,INDIRECT(VLOOKUP(programme_outcome,outcomes_table,3,FALSE)),0)-1,1))</f>
        <v>Output</v>
      </c>
      <c r="G446" s="451">
        <v>0</v>
      </c>
      <c r="H446" s="267"/>
      <c r="I446" s="481"/>
      <c r="J446" s="482"/>
      <c r="K446" s="483"/>
      <c r="L446" s="393" t="str">
        <f t="array" aca="1" ref="L446" ca="1">IF($C446="","",OFFSET(INDIRECT(VLOOKUP(programme_outcome,outcomes_table,3,FALSE)),MATCH($C446,INDIRECT(VLOOKUP(programme_outcome,outcomes_table,3,FALSE)),0)-1,3))</f>
        <v>DGV_OTC2_OTP2_IND3</v>
      </c>
      <c r="M446" s="259"/>
    </row>
    <row r="447" spans="2:15" ht="75" hidden="1" customHeight="1" x14ac:dyDescent="0.2">
      <c r="B447" s="251"/>
      <c r="C447" s="502"/>
      <c r="D447" s="502"/>
      <c r="E447" s="252"/>
      <c r="F447" s="252"/>
      <c r="G447" s="451"/>
      <c r="H447" s="267"/>
      <c r="I447" s="481"/>
      <c r="J447" s="482"/>
      <c r="K447" s="483"/>
      <c r="L447" s="393" t="str">
        <f t="array" aca="1" ref="L447" ca="1">IF($C447="","",OFFSET(INDIRECT(VLOOKUP(programme_outcome,outcomes_table,3,FALSE)),MATCH($C447,INDIRECT(VLOOKUP(programme_outcome,outcomes_table,3,FALSE)),0)-1,3))</f>
        <v/>
      </c>
      <c r="M447" s="259"/>
      <c r="O447" s="233"/>
    </row>
    <row r="448" spans="2:15" ht="75" hidden="1" customHeight="1" x14ac:dyDescent="0.2">
      <c r="B448" s="251"/>
      <c r="C448" s="502"/>
      <c r="D448" s="502"/>
      <c r="E448" s="252"/>
      <c r="F448" s="252"/>
      <c r="G448" s="451"/>
      <c r="H448" s="267"/>
      <c r="I448" s="481"/>
      <c r="J448" s="482"/>
      <c r="K448" s="483"/>
      <c r="L448" s="393" t="str">
        <f t="array" aca="1" ref="L448" ca="1">IF($C448="","",OFFSET(INDIRECT(VLOOKUP(programme_outcome,outcomes_table,3,FALSE)),MATCH($C448,INDIRECT(VLOOKUP(programme_outcome,outcomes_table,3,FALSE)),0)-1,3))</f>
        <v/>
      </c>
      <c r="M448" s="259"/>
    </row>
    <row r="449" spans="2:13" ht="75" hidden="1" customHeight="1" x14ac:dyDescent="0.2">
      <c r="B449" s="251"/>
      <c r="C449" s="502"/>
      <c r="D449" s="502"/>
      <c r="E449" s="252" t="str">
        <f t="array" aca="1" ref="E449" ca="1">IF($C449="","",OFFSET(INDIRECT(VLOOKUP(programme_outcome,outcomes_table,3,FALSE)),MATCH($C449,INDIRECT(VLOOKUP(programme_outcome,outcomes_table,3,FALSE)),0)-1,2))</f>
        <v/>
      </c>
      <c r="F449" s="252" t="str">
        <f t="array" aca="1" ref="F449" ca="1">IF($C449="","",OFFSET(INDIRECT(VLOOKUP(programme_outcome,outcomes_table,3,FALSE)),MATCH($C449,INDIRECT(VLOOKUP(programme_outcome,outcomes_table,3,FALSE)),0)-1,1))</f>
        <v/>
      </c>
      <c r="G449" s="267"/>
      <c r="H449" s="267"/>
      <c r="I449" s="481"/>
      <c r="J449" s="482"/>
      <c r="K449" s="483"/>
      <c r="L449" s="393" t="str">
        <f t="array" aca="1" ref="L449" ca="1">IF($C449="","",OFFSET(INDIRECT(VLOOKUP(programme_outcome,outcomes_table,3,FALSE)),MATCH($C449,INDIRECT(VLOOKUP(programme_outcome,outcomes_table,3,FALSE)),0)-1,3))</f>
        <v/>
      </c>
      <c r="M449" s="259"/>
    </row>
    <row r="450" spans="2:13" ht="75" hidden="1" customHeight="1" x14ac:dyDescent="0.2">
      <c r="B450" s="251"/>
      <c r="C450" s="502"/>
      <c r="D450" s="502"/>
      <c r="E450" s="252" t="str">
        <f t="array" aca="1" ref="E450" ca="1">IF($C450="","",OFFSET(INDIRECT(VLOOKUP(programme_outcome,outcomes_table,3,FALSE)),MATCH($C450,INDIRECT(VLOOKUP(programme_outcome,outcomes_table,3,FALSE)),0)-1,2))</f>
        <v/>
      </c>
      <c r="F450" s="252" t="str">
        <f t="array" aca="1" ref="F450" ca="1">IF($C450="","",OFFSET(INDIRECT(VLOOKUP(programme_outcome,outcomes_table,3,FALSE)),MATCH($C450,INDIRECT(VLOOKUP(programme_outcome,outcomes_table,3,FALSE)),0)-1,1))</f>
        <v/>
      </c>
      <c r="G450" s="267"/>
      <c r="H450" s="267"/>
      <c r="I450" s="481"/>
      <c r="J450" s="482"/>
      <c r="K450" s="483"/>
      <c r="L450" s="393" t="str">
        <f t="array" aca="1" ref="L450" ca="1">IF($C450="","",OFFSET(INDIRECT(VLOOKUP(programme_outcome,outcomes_table,3,FALSE)),MATCH($C450,INDIRECT(VLOOKUP(programme_outcome,outcomes_table,3,FALSE)),0)-1,3))</f>
        <v/>
      </c>
      <c r="M450" s="259"/>
    </row>
    <row r="451" spans="2:13" ht="75" hidden="1" customHeight="1" x14ac:dyDescent="0.2">
      <c r="B451" s="251"/>
      <c r="C451" s="502"/>
      <c r="D451" s="502"/>
      <c r="E451" s="252" t="str">
        <f t="array" aca="1" ref="E451" ca="1">IF($C451="","",OFFSET(INDIRECT(VLOOKUP(programme_outcome,outcomes_table,3,FALSE)),MATCH($C451,INDIRECT(VLOOKUP(programme_outcome,outcomes_table,3,FALSE)),0)-1,2))</f>
        <v/>
      </c>
      <c r="F451" s="252" t="str">
        <f t="array" aca="1" ref="F451" ca="1">IF($C451="","",OFFSET(INDIRECT(VLOOKUP(programme_outcome,outcomes_table,3,FALSE)),MATCH($C451,INDIRECT(VLOOKUP(programme_outcome,outcomes_table,3,FALSE)),0)-1,1))</f>
        <v/>
      </c>
      <c r="G451" s="267"/>
      <c r="H451" s="267"/>
      <c r="I451" s="481"/>
      <c r="J451" s="482"/>
      <c r="K451" s="483"/>
      <c r="L451" s="393" t="str">
        <f t="array" aca="1" ref="L451" ca="1">IF($C451="","",OFFSET(INDIRECT(VLOOKUP(programme_outcome,outcomes_table,3,FALSE)),MATCH($C451,INDIRECT(VLOOKUP(programme_outcome,outcomes_table,3,FALSE)),0)-1,3))</f>
        <v/>
      </c>
      <c r="M451" s="259"/>
    </row>
    <row r="452" spans="2:13" customFormat="1" ht="7.5" customHeight="1" x14ac:dyDescent="0.2">
      <c r="B452" s="380"/>
      <c r="C452" s="255"/>
      <c r="D452" s="255"/>
      <c r="E452" s="255"/>
      <c r="F452" s="255"/>
      <c r="G452" s="255"/>
      <c r="H452" s="255"/>
      <c r="I452" s="255"/>
      <c r="J452" s="255"/>
      <c r="K452" s="255"/>
      <c r="L452" s="256"/>
      <c r="M452" s="379"/>
    </row>
    <row r="453" spans="2:13" customFormat="1" ht="7.5" customHeight="1" x14ac:dyDescent="0.2">
      <c r="B453" s="381"/>
      <c r="C453" s="381"/>
      <c r="D453" s="381"/>
      <c r="E453" s="381"/>
      <c r="F453" s="381"/>
      <c r="G453" s="381"/>
      <c r="H453" s="381"/>
      <c r="I453" s="381"/>
      <c r="J453" s="381"/>
      <c r="K453" s="381"/>
      <c r="L453" s="381"/>
      <c r="M453" s="379"/>
    </row>
    <row r="454" spans="2:13" customFormat="1" ht="7.5" customHeight="1" x14ac:dyDescent="0.2">
      <c r="B454" s="255"/>
      <c r="C454" s="255"/>
      <c r="D454" s="255"/>
      <c r="E454" s="255"/>
      <c r="F454" s="255"/>
      <c r="G454" s="255"/>
      <c r="H454" s="255"/>
      <c r="I454" s="255"/>
      <c r="J454" s="255"/>
      <c r="K454" s="255"/>
      <c r="L454" s="255"/>
      <c r="M454" s="379"/>
    </row>
    <row r="455" spans="2:13" s="78" customFormat="1" ht="23.25" customHeight="1" x14ac:dyDescent="0.2">
      <c r="B455" s="382" t="s">
        <v>1295</v>
      </c>
      <c r="C455" s="106"/>
      <c r="D455" s="106"/>
      <c r="E455" s="106"/>
      <c r="F455" s="106"/>
      <c r="G455" s="106"/>
      <c r="H455" s="106"/>
      <c r="I455" s="106"/>
      <c r="J455" s="106"/>
      <c r="K455" s="106"/>
      <c r="L455" s="383"/>
    </row>
    <row r="456" spans="2:13" customFormat="1" ht="7.5" customHeight="1" x14ac:dyDescent="0.2">
      <c r="B456" s="241"/>
      <c r="M456" s="241"/>
    </row>
    <row r="457" spans="2:13" ht="32.25" customHeight="1" x14ac:dyDescent="0.2">
      <c r="B457" s="168"/>
      <c r="C457" s="479" t="s">
        <v>87</v>
      </c>
      <c r="D457" s="502"/>
      <c r="E457" s="243" t="s">
        <v>414</v>
      </c>
      <c r="F457" s="243" t="s">
        <v>415</v>
      </c>
      <c r="G457" s="243" t="s">
        <v>88</v>
      </c>
      <c r="H457" s="243" t="s">
        <v>89</v>
      </c>
      <c r="I457" s="479" t="s">
        <v>90</v>
      </c>
      <c r="J457" s="480"/>
      <c r="K457" s="480"/>
      <c r="L457" s="387" t="s">
        <v>1271</v>
      </c>
    </row>
    <row r="458" spans="2:13" ht="75" customHeight="1" x14ac:dyDescent="0.2">
      <c r="B458" s="251"/>
      <c r="C458" s="502" t="s">
        <v>670</v>
      </c>
      <c r="D458" s="502"/>
      <c r="E458" s="252" t="str">
        <f t="array" aca="1" ref="E458" ca="1">IF($C458="","",OFFSET(INDIRECT("indicators_"&amp;programme_abbreviation&amp;"_OTCB"),MATCH($C458,INDIRECT("indicators_"&amp;programme_abbreviation&amp;"_OTCB"),0)-1,2))</f>
        <v>Reported</v>
      </c>
      <c r="F458" s="252" t="str">
        <f t="array" aca="1" ref="F458" ca="1">IF($C458="","",OFFSET(INDIRECT("indicators_"&amp;programme_abbreviation&amp;"_OTCB"),MATCH($C458,INDIRECT("indicators_"&amp;programme_abbreviation&amp;"_OTCB"),0)-1,1))</f>
        <v>Outcome</v>
      </c>
      <c r="G458" s="451" t="s">
        <v>725</v>
      </c>
      <c r="H458" s="267"/>
      <c r="I458" s="481"/>
      <c r="J458" s="482"/>
      <c r="K458" s="483"/>
      <c r="L458" s="393" t="str">
        <f t="array" aca="1" ref="L458" ca="1">IF($C458="","",OFFSET(INDIRECT("indicators_"&amp;programme_abbreviation&amp;"_OTCB"),MATCH($C458,INDIRECT("indicators_"&amp;programme_abbreviation&amp;"_OTCB"),0)-1,3))</f>
        <v>DGV_OTCB_IND1</v>
      </c>
      <c r="M458" s="259"/>
    </row>
    <row r="459" spans="2:13" ht="75" customHeight="1" x14ac:dyDescent="0.2">
      <c r="B459" s="251"/>
      <c r="C459" s="502" t="s">
        <v>671</v>
      </c>
      <c r="D459" s="502"/>
      <c r="E459" s="252" t="str">
        <f t="array" aca="1" ref="E459" ca="1">IF($C459="","",OFFSET(INDIRECT("indicators_"&amp;programme_abbreviation&amp;"_OTCB"),MATCH($C459,INDIRECT("indicators_"&amp;programme_abbreviation&amp;"_OTCB"),0)-1,2))</f>
        <v>Reported</v>
      </c>
      <c r="F459" s="252" t="str">
        <f t="array" aca="1" ref="F459" ca="1">IF($C459="","",OFFSET(INDIRECT("indicators_"&amp;programme_abbreviation&amp;"_OTCB"),MATCH($C459,INDIRECT("indicators_"&amp;programme_abbreviation&amp;"_OTCB"),0)-1,1))</f>
        <v>Outcome</v>
      </c>
      <c r="G459" s="451" t="s">
        <v>725</v>
      </c>
      <c r="H459" s="267"/>
      <c r="I459" s="481"/>
      <c r="J459" s="482"/>
      <c r="K459" s="483"/>
      <c r="L459" s="393" t="str">
        <f t="array" aca="1" ref="L459" ca="1">IF($C459="","",OFFSET(INDIRECT("indicators_"&amp;programme_abbreviation&amp;"_OTCB"),MATCH($C459,INDIRECT("indicators_"&amp;programme_abbreviation&amp;"_OTCB"),0)-1,3))</f>
        <v>DGV_OTCB_IND2</v>
      </c>
      <c r="M459" s="259"/>
    </row>
    <row r="460" spans="2:13" ht="75" customHeight="1" x14ac:dyDescent="0.2">
      <c r="B460" s="251"/>
      <c r="C460" s="502" t="s">
        <v>672</v>
      </c>
      <c r="D460" s="502"/>
      <c r="E460" s="252" t="str">
        <f t="array" aca="1" ref="E460" ca="1">IF($C460="","",OFFSET(INDIRECT("indicators_"&amp;programme_abbreviation&amp;"_OTCB"),MATCH($C460,INDIRECT("indicators_"&amp;programme_abbreviation&amp;"_OTCB"),0)-1,2))</f>
        <v>Reported</v>
      </c>
      <c r="F460" s="252" t="str">
        <f t="array" aca="1" ref="F460" ca="1">IF($C460="","",OFFSET(INDIRECT("indicators_"&amp;programme_abbreviation&amp;"_OTCB"),MATCH($C460,INDIRECT("indicators_"&amp;programme_abbreviation&amp;"_OTCB"),0)-1,1))</f>
        <v>Outcome</v>
      </c>
      <c r="G460" s="451">
        <v>0</v>
      </c>
      <c r="H460" s="267"/>
      <c r="I460" s="481"/>
      <c r="J460" s="482"/>
      <c r="K460" s="483"/>
      <c r="L460" s="393" t="str">
        <f t="array" aca="1" ref="L460" ca="1">IF($C460="","",OFFSET(INDIRECT("indicators_"&amp;programme_abbreviation&amp;"_OTCB"),MATCH($C460,INDIRECT("indicators_"&amp;programme_abbreviation&amp;"_OTCB"),0)-1,3))</f>
        <v>DGV_OTCB_IND3</v>
      </c>
      <c r="M460" s="259"/>
    </row>
    <row r="461" spans="2:13" ht="75" customHeight="1" x14ac:dyDescent="0.2">
      <c r="B461" s="251"/>
      <c r="C461" s="502" t="s">
        <v>673</v>
      </c>
      <c r="D461" s="502"/>
      <c r="E461" s="252" t="str">
        <f t="array" aca="1" ref="E461" ca="1">IF($C461="","",OFFSET(INDIRECT("indicators_"&amp;programme_abbreviation&amp;"_OTCB"),MATCH($C461,INDIRECT("indicators_"&amp;programme_abbreviation&amp;"_OTCB"),0)-1,2))</f>
        <v>Reported</v>
      </c>
      <c r="F461" s="252" t="str">
        <f t="array" aca="1" ref="F461" ca="1">IF($C461="","",OFFSET(INDIRECT("indicators_"&amp;programme_abbreviation&amp;"_OTCB"),MATCH($C461,INDIRECT("indicators_"&amp;programme_abbreviation&amp;"_OTCB"),0)-1,1))</f>
        <v>Outcome</v>
      </c>
      <c r="G461" s="451">
        <v>0</v>
      </c>
      <c r="H461" s="450"/>
      <c r="I461" s="481"/>
      <c r="J461" s="482"/>
      <c r="K461" s="483"/>
      <c r="L461" s="393" t="str">
        <f t="array" aca="1" ref="L461" ca="1">IF($C461="","",OFFSET(INDIRECT("indicators_"&amp;programme_abbreviation&amp;"_OTCB"),MATCH($C461,INDIRECT("indicators_"&amp;programme_abbreviation&amp;"_OTCB"),0)-1,3))</f>
        <v>DGV_OTCB_IND4</v>
      </c>
      <c r="M461" s="259"/>
    </row>
    <row r="462" spans="2:13" ht="75" customHeight="1" x14ac:dyDescent="0.2">
      <c r="B462" s="251"/>
      <c r="C462" s="502" t="s">
        <v>637</v>
      </c>
      <c r="D462" s="502"/>
      <c r="E462" s="252" t="str">
        <f t="array" aca="1" ref="E462" ca="1">IF($C462="","",OFFSET(INDIRECT("indicators_"&amp;programme_abbreviation&amp;"_OTCB"),MATCH($C462,INDIRECT("indicators_"&amp;programme_abbreviation&amp;"_OTCB"),0)-1,2))</f>
        <v>Binding</v>
      </c>
      <c r="F462" s="252" t="str">
        <f t="array" aca="1" ref="F462" ca="1">IF($C462="","",OFFSET(INDIRECT("indicators_"&amp;programme_abbreviation&amp;"_OTCB"),MATCH($C462,INDIRECT("indicators_"&amp;programme_abbreviation&amp;"_OTCB"),0)-1,1))</f>
        <v>Output</v>
      </c>
      <c r="G462" s="451">
        <v>0</v>
      </c>
      <c r="H462" s="267"/>
      <c r="I462" s="481"/>
      <c r="J462" s="482"/>
      <c r="K462" s="483"/>
      <c r="L462" s="393" t="str">
        <f t="array" aca="1" ref="L462" ca="1">IF($C462="","",OFFSET(INDIRECT("indicators_"&amp;programme_abbreviation&amp;"_OTCB"),MATCH($C462,INDIRECT("indicators_"&amp;programme_abbreviation&amp;"_OTCB"),0)-1,3))</f>
        <v>DGV_OTCB_OTP1_IND1</v>
      </c>
      <c r="M462" s="259"/>
    </row>
    <row r="463" spans="2:13" ht="75" customHeight="1" x14ac:dyDescent="0.2">
      <c r="B463" s="251"/>
      <c r="C463" s="502" t="s">
        <v>678</v>
      </c>
      <c r="D463" s="502"/>
      <c r="E463" s="252" t="str">
        <f t="array" aca="1" ref="E463" ca="1">IF($C463="","",OFFSET(INDIRECT("indicators_"&amp;programme_abbreviation&amp;"_OTCB"),MATCH($C463,INDIRECT("indicators_"&amp;programme_abbreviation&amp;"_OTCB"),0)-1,2))</f>
        <v>Binding</v>
      </c>
      <c r="F463" s="252" t="str">
        <f t="array" aca="1" ref="F463" ca="1">IF($C463="","",OFFSET(INDIRECT("indicators_"&amp;programme_abbreviation&amp;"_OTCB"),MATCH($C463,INDIRECT("indicators_"&amp;programme_abbreviation&amp;"_OTCB"),0)-1,1))</f>
        <v>Output</v>
      </c>
      <c r="G463" s="451">
        <v>0</v>
      </c>
      <c r="H463" s="267"/>
      <c r="I463" s="481"/>
      <c r="J463" s="482"/>
      <c r="K463" s="483"/>
      <c r="L463" s="393" t="str">
        <f t="array" aca="1" ref="L463" ca="1">IF($C463="","",OFFSET(INDIRECT("indicators_"&amp;programme_abbreviation&amp;"_OTCB"),MATCH($C463,INDIRECT("indicators_"&amp;programme_abbreviation&amp;"_OTCB"),0)-1,3))</f>
        <v>DGV_OTCB_OTP1_IND6</v>
      </c>
      <c r="M463" s="259"/>
    </row>
    <row r="464" spans="2:13" ht="75" hidden="1" customHeight="1" x14ac:dyDescent="0.2">
      <c r="B464" s="251"/>
      <c r="C464" s="502"/>
      <c r="D464" s="502"/>
      <c r="E464" s="252" t="str">
        <f t="array" aca="1" ref="E464" ca="1">IF($C464="","",OFFSET(INDIRECT("indicators_"&amp;programme_abbreviation&amp;"_OTCB"),MATCH($C464,INDIRECT("indicators_"&amp;programme_abbreviation&amp;"_OTCB"),0)-1,2))</f>
        <v/>
      </c>
      <c r="F464" s="252" t="str">
        <f t="array" aca="1" ref="F464" ca="1">IF($C464="","",OFFSET(INDIRECT("indicators_"&amp;programme_abbreviation&amp;"_OTCB"),MATCH($C464,INDIRECT("indicators_"&amp;programme_abbreviation&amp;"_OTCB"),0)-1,1))</f>
        <v/>
      </c>
      <c r="G464" s="263"/>
      <c r="H464" s="263"/>
      <c r="I464" s="481"/>
      <c r="J464" s="482"/>
      <c r="K464" s="483"/>
      <c r="L464" s="393" t="str">
        <f t="array" aca="1" ref="L464" ca="1">IF($C464="","",OFFSET(INDIRECT("indicators_"&amp;programme_abbreviation&amp;"_OTCB"),MATCH($C464,INDIRECT("indicators_"&amp;programme_abbreviation&amp;"_OTCB"),0)-1,3))</f>
        <v/>
      </c>
      <c r="M464" s="259"/>
    </row>
    <row r="465" spans="2:15" ht="75" hidden="1" customHeight="1" x14ac:dyDescent="0.2">
      <c r="B465" s="251"/>
      <c r="C465" s="502"/>
      <c r="D465" s="502"/>
      <c r="E465" s="252" t="str">
        <f t="array" aca="1" ref="E465" ca="1">IF($C465="","",OFFSET(INDIRECT("indicators_"&amp;programme_abbreviation&amp;"_OTCB"),MATCH($C465,INDIRECT("indicators_"&amp;programme_abbreviation&amp;"_OTCB"),0)-1,2))</f>
        <v/>
      </c>
      <c r="F465" s="252" t="str">
        <f t="array" aca="1" ref="F465" ca="1">IF($C465="","",OFFSET(INDIRECT("indicators_"&amp;programme_abbreviation&amp;"_OTCB"),MATCH($C465,INDIRECT("indicators_"&amp;programme_abbreviation&amp;"_OTCB"),0)-1,1))</f>
        <v/>
      </c>
      <c r="G465" s="263"/>
      <c r="H465" s="263"/>
      <c r="I465" s="481"/>
      <c r="J465" s="482"/>
      <c r="K465" s="483"/>
      <c r="L465" s="393" t="str">
        <f t="array" aca="1" ref="L465" ca="1">IF($C465="","",OFFSET(INDIRECT("indicators_"&amp;programme_abbreviation&amp;"_OTCB"),MATCH($C465,INDIRECT("indicators_"&amp;programme_abbreviation&amp;"_OTCB"),0)-1,3))</f>
        <v/>
      </c>
      <c r="M465" s="259"/>
    </row>
    <row r="466" spans="2:15" customFormat="1" ht="7.5" customHeight="1" x14ac:dyDescent="0.2">
      <c r="B466" s="254"/>
      <c r="C466" s="255"/>
      <c r="D466" s="255"/>
      <c r="E466" s="255"/>
      <c r="F466" s="255"/>
      <c r="G466" s="255"/>
      <c r="H466" s="255"/>
      <c r="I466" s="255"/>
      <c r="J466" s="255"/>
      <c r="K466" s="255"/>
      <c r="L466" s="256"/>
      <c r="M466" s="241"/>
    </row>
    <row r="467" spans="2:15" s="78" customFormat="1" ht="23.25" customHeight="1" x14ac:dyDescent="0.2">
      <c r="B467" s="242" t="s">
        <v>1028</v>
      </c>
      <c r="L467" s="101"/>
    </row>
    <row r="468" spans="2:15" customFormat="1" ht="7.5" customHeight="1" x14ac:dyDescent="0.2">
      <c r="B468" s="241"/>
      <c r="M468" s="241"/>
    </row>
    <row r="469" spans="2:15" ht="32.25" customHeight="1" x14ac:dyDescent="0.2">
      <c r="B469" s="168"/>
      <c r="C469" s="515" t="s">
        <v>87</v>
      </c>
      <c r="D469" s="516"/>
      <c r="E469" s="517"/>
      <c r="F469" s="518"/>
      <c r="G469" s="243" t="s">
        <v>88</v>
      </c>
      <c r="H469" s="243" t="s">
        <v>89</v>
      </c>
      <c r="I469" s="479" t="s">
        <v>90</v>
      </c>
      <c r="J469" s="480"/>
      <c r="K469" s="480"/>
      <c r="L469" s="387" t="s">
        <v>1271</v>
      </c>
    </row>
    <row r="470" spans="2:15" ht="75" customHeight="1" x14ac:dyDescent="0.2">
      <c r="B470" s="251"/>
      <c r="C470" s="522" t="s">
        <v>897</v>
      </c>
      <c r="D470" s="523"/>
      <c r="E470" s="524"/>
      <c r="F470" s="525"/>
      <c r="G470" s="257">
        <v>0</v>
      </c>
      <c r="H470" s="267"/>
      <c r="I470" s="481"/>
      <c r="J470" s="482" t="s">
        <v>1248</v>
      </c>
      <c r="K470" s="483"/>
      <c r="L470" s="393" t="s">
        <v>1272</v>
      </c>
      <c r="M470" s="259"/>
      <c r="O470" s="217"/>
    </row>
    <row r="471" spans="2:15" ht="75" customHeight="1" x14ac:dyDescent="0.2">
      <c r="B471" s="251"/>
      <c r="C471" s="522" t="s">
        <v>896</v>
      </c>
      <c r="D471" s="523"/>
      <c r="E471" s="524"/>
      <c r="F471" s="525"/>
      <c r="G471" s="257">
        <v>0</v>
      </c>
      <c r="H471" s="267"/>
      <c r="I471" s="481"/>
      <c r="J471" s="482" t="s">
        <v>1249</v>
      </c>
      <c r="K471" s="483"/>
      <c r="L471" s="393" t="s">
        <v>1273</v>
      </c>
      <c r="M471" s="259"/>
      <c r="O471" s="217"/>
    </row>
    <row r="472" spans="2:15" ht="75" customHeight="1" x14ac:dyDescent="0.2">
      <c r="B472" s="251"/>
      <c r="C472" s="522" t="s">
        <v>895</v>
      </c>
      <c r="D472" s="523"/>
      <c r="E472" s="524"/>
      <c r="F472" s="525"/>
      <c r="G472" s="257">
        <v>0</v>
      </c>
      <c r="H472" s="267"/>
      <c r="I472" s="481"/>
      <c r="J472" s="482" t="s">
        <v>1250</v>
      </c>
      <c r="K472" s="483"/>
      <c r="L472" s="393" t="s">
        <v>1274</v>
      </c>
      <c r="M472" s="259"/>
      <c r="O472" s="217"/>
    </row>
    <row r="473" spans="2:15" ht="75" customHeight="1" x14ac:dyDescent="0.2">
      <c r="B473" s="251"/>
      <c r="C473" s="522" t="s">
        <v>894</v>
      </c>
      <c r="D473" s="523"/>
      <c r="E473" s="524"/>
      <c r="F473" s="525"/>
      <c r="G473" s="257">
        <v>0</v>
      </c>
      <c r="H473" s="267"/>
      <c r="I473" s="481"/>
      <c r="J473" s="482" t="s">
        <v>1251</v>
      </c>
      <c r="K473" s="483"/>
      <c r="L473" s="393" t="s">
        <v>1275</v>
      </c>
      <c r="M473" s="259"/>
      <c r="O473" s="217"/>
    </row>
    <row r="474" spans="2:15" ht="75" customHeight="1" x14ac:dyDescent="0.2">
      <c r="B474" s="251"/>
      <c r="C474" s="522" t="s">
        <v>893</v>
      </c>
      <c r="D474" s="523"/>
      <c r="E474" s="524"/>
      <c r="F474" s="525"/>
      <c r="G474" s="257">
        <v>0</v>
      </c>
      <c r="H474" s="267"/>
      <c r="I474" s="481"/>
      <c r="J474" s="482" t="s">
        <v>1252</v>
      </c>
      <c r="K474" s="483"/>
      <c r="L474" s="393" t="s">
        <v>1276</v>
      </c>
      <c r="M474" s="259"/>
      <c r="O474" s="217"/>
    </row>
    <row r="475" spans="2:15" ht="75" customHeight="1" x14ac:dyDescent="0.2">
      <c r="B475" s="251"/>
      <c r="C475" s="522" t="s">
        <v>1469</v>
      </c>
      <c r="D475" s="523"/>
      <c r="E475" s="524"/>
      <c r="F475" s="525"/>
      <c r="G475" s="257">
        <v>0</v>
      </c>
      <c r="H475" s="267"/>
      <c r="I475" s="481"/>
      <c r="J475" s="482" t="s">
        <v>1253</v>
      </c>
      <c r="K475" s="483"/>
      <c r="L475" s="393" t="s">
        <v>1277</v>
      </c>
      <c r="M475" s="259"/>
      <c r="O475" s="217"/>
    </row>
    <row r="476" spans="2:15" ht="75" customHeight="1" x14ac:dyDescent="0.2">
      <c r="B476" s="251"/>
      <c r="C476" s="522" t="s">
        <v>891</v>
      </c>
      <c r="D476" s="523"/>
      <c r="E476" s="524"/>
      <c r="F476" s="525"/>
      <c r="G476" s="257">
        <v>0</v>
      </c>
      <c r="H476" s="267"/>
      <c r="I476" s="481"/>
      <c r="J476" s="482" t="s">
        <v>1254</v>
      </c>
      <c r="K476" s="483"/>
      <c r="L476" s="393" t="s">
        <v>1278</v>
      </c>
      <c r="M476" s="259"/>
      <c r="O476" s="217"/>
    </row>
    <row r="477" spans="2:15" s="78" customFormat="1" ht="23.25" customHeight="1" x14ac:dyDescent="0.2">
      <c r="B477" s="242" t="s">
        <v>1029</v>
      </c>
      <c r="L477" s="101"/>
    </row>
    <row r="478" spans="2:15" customFormat="1" ht="7.5" customHeight="1" x14ac:dyDescent="0.2">
      <c r="B478" s="241"/>
      <c r="M478" s="241"/>
    </row>
    <row r="479" spans="2:15" ht="32.25" customHeight="1" x14ac:dyDescent="0.2">
      <c r="B479" s="168"/>
      <c r="C479" s="479" t="s">
        <v>87</v>
      </c>
      <c r="D479" s="502"/>
      <c r="E479" s="243" t="s">
        <v>414</v>
      </c>
      <c r="F479" s="243" t="s">
        <v>415</v>
      </c>
      <c r="G479" s="243" t="s">
        <v>88</v>
      </c>
      <c r="H479" s="243" t="s">
        <v>89</v>
      </c>
      <c r="I479" s="479" t="s">
        <v>90</v>
      </c>
      <c r="J479" s="480"/>
      <c r="K479" s="480"/>
      <c r="L479" s="387" t="s">
        <v>1271</v>
      </c>
    </row>
    <row r="480" spans="2:15" ht="75" customHeight="1" x14ac:dyDescent="0.2">
      <c r="B480" s="251"/>
      <c r="C480" s="526" t="s">
        <v>1526</v>
      </c>
      <c r="D480" s="502"/>
      <c r="E480" s="444" t="s">
        <v>1354</v>
      </c>
      <c r="F480" s="253" t="s">
        <v>174</v>
      </c>
      <c r="G480" s="257">
        <v>0</v>
      </c>
      <c r="H480" s="456"/>
      <c r="I480" s="481"/>
      <c r="J480" s="482"/>
      <c r="K480" s="483"/>
      <c r="L480" s="393" t="str">
        <f t="shared" ref="L480:L486" si="0">IF(ISBLANK(project_specific_indicator1),"",call_code&amp;"_"&amp;"PSI_IND"&amp;ROW(A1))</f>
        <v>DGV02_PSI_IND1</v>
      </c>
      <c r="M480" s="259"/>
    </row>
    <row r="481" spans="2:14" ht="75" customHeight="1" x14ac:dyDescent="0.2">
      <c r="B481" s="251"/>
      <c r="C481" s="522" t="s">
        <v>1527</v>
      </c>
      <c r="D481" s="530"/>
      <c r="E481" s="444" t="s">
        <v>1354</v>
      </c>
      <c r="F481" s="253" t="s">
        <v>174</v>
      </c>
      <c r="G481" s="257">
        <v>0</v>
      </c>
      <c r="H481" s="456"/>
      <c r="I481" s="481"/>
      <c r="J481" s="482" t="s">
        <v>1255</v>
      </c>
      <c r="K481" s="483"/>
      <c r="L481" s="393" t="str">
        <f t="shared" si="0"/>
        <v>DGV02_PSI_IND2</v>
      </c>
      <c r="M481" s="259"/>
    </row>
    <row r="482" spans="2:14" ht="75" customHeight="1" x14ac:dyDescent="0.2">
      <c r="B482" s="251"/>
      <c r="C482" s="522" t="s">
        <v>1528</v>
      </c>
      <c r="D482" s="530"/>
      <c r="E482" s="444" t="s">
        <v>1354</v>
      </c>
      <c r="F482" s="253" t="s">
        <v>174</v>
      </c>
      <c r="G482" s="257">
        <v>0</v>
      </c>
      <c r="H482" s="456"/>
      <c r="I482" s="481"/>
      <c r="J482" s="482" t="s">
        <v>1256</v>
      </c>
      <c r="K482" s="483"/>
      <c r="L482" s="393" t="str">
        <f t="shared" si="0"/>
        <v>DGV02_PSI_IND3</v>
      </c>
      <c r="M482" s="259"/>
    </row>
    <row r="483" spans="2:14" ht="75" customHeight="1" x14ac:dyDescent="0.2">
      <c r="B483" s="251"/>
      <c r="C483" s="526" t="s">
        <v>1529</v>
      </c>
      <c r="D483" s="502"/>
      <c r="E483" s="444" t="s">
        <v>1354</v>
      </c>
      <c r="F483" s="253" t="s">
        <v>174</v>
      </c>
      <c r="G483" s="257">
        <v>0</v>
      </c>
      <c r="H483" s="456"/>
      <c r="I483" s="481"/>
      <c r="J483" s="482" t="s">
        <v>1256</v>
      </c>
      <c r="K483" s="483"/>
      <c r="L483" s="393" t="str">
        <f t="shared" si="0"/>
        <v>DGV02_PSI_IND4</v>
      </c>
      <c r="M483" s="259"/>
    </row>
    <row r="484" spans="2:14" ht="75" hidden="1" customHeight="1" x14ac:dyDescent="0.2">
      <c r="B484" s="251"/>
      <c r="C484" s="502"/>
      <c r="D484" s="502"/>
      <c r="E484" s="444"/>
      <c r="F484" s="253"/>
      <c r="G484" s="257"/>
      <c r="H484" s="263"/>
      <c r="I484" s="481"/>
      <c r="J484" s="482"/>
      <c r="K484" s="483"/>
      <c r="L484" s="393" t="str">
        <f t="shared" si="0"/>
        <v>DGV02_PSI_IND5</v>
      </c>
      <c r="M484" s="259"/>
    </row>
    <row r="485" spans="2:14" ht="75" hidden="1" customHeight="1" x14ac:dyDescent="0.2">
      <c r="B485" s="251"/>
      <c r="C485" s="526"/>
      <c r="D485" s="502"/>
      <c r="E485" s="444"/>
      <c r="F485" s="253"/>
      <c r="G485" s="267"/>
      <c r="H485" s="267"/>
      <c r="I485" s="481"/>
      <c r="J485" s="482"/>
      <c r="K485" s="483"/>
      <c r="L485" s="393" t="str">
        <f t="shared" si="0"/>
        <v>DGV02_PSI_IND6</v>
      </c>
      <c r="M485" s="259"/>
    </row>
    <row r="486" spans="2:14" ht="75" hidden="1" customHeight="1" x14ac:dyDescent="0.2">
      <c r="B486" s="251"/>
      <c r="C486" s="526"/>
      <c r="D486" s="502"/>
      <c r="E486" s="444"/>
      <c r="F486" s="253"/>
      <c r="G486" s="267"/>
      <c r="H486" s="267"/>
      <c r="I486" s="564"/>
      <c r="J486" s="565"/>
      <c r="K486" s="566"/>
      <c r="L486" s="393" t="str">
        <f t="shared" si="0"/>
        <v>DGV02_PSI_IND7</v>
      </c>
      <c r="M486" s="259"/>
    </row>
    <row r="487" spans="2:14" ht="11.25" customHeight="1" x14ac:dyDescent="0.2">
      <c r="B487" s="221"/>
      <c r="C487" s="222"/>
      <c r="D487" s="222"/>
      <c r="E487" s="222"/>
      <c r="F487" s="222"/>
      <c r="G487" s="222"/>
      <c r="H487" s="222"/>
      <c r="I487" s="222"/>
      <c r="J487" s="222"/>
      <c r="K487" s="222"/>
      <c r="L487" s="223"/>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1030</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3" t="s">
        <v>1031</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5" t="s">
        <v>384</v>
      </c>
      <c r="D493" s="175" t="s">
        <v>385</v>
      </c>
      <c r="E493" s="83"/>
      <c r="F493" s="83"/>
      <c r="G493" s="83"/>
      <c r="H493" s="83"/>
      <c r="I493" s="83"/>
      <c r="J493" s="176" t="s">
        <v>386</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66"/>
      <c r="D495" s="639"/>
      <c r="E495" s="640"/>
      <c r="F495" s="640"/>
      <c r="G495" s="640"/>
      <c r="H495" s="640"/>
      <c r="I495" s="641"/>
      <c r="J495" s="642" t="str">
        <f>IF(ISBLANK(project_sector_specified),"",VLOOKUP(project_sector_specified,project_sector_codes_table,2,FALSE))</f>
        <v/>
      </c>
      <c r="K495" s="643"/>
      <c r="L495" s="6"/>
    </row>
    <row r="496" spans="2:14" ht="4.5" customHeight="1" x14ac:dyDescent="0.2">
      <c r="B496" s="1"/>
      <c r="C496" s="82"/>
      <c r="D496" s="83"/>
      <c r="E496" s="83"/>
      <c r="F496" s="83"/>
      <c r="G496" s="83"/>
      <c r="H496" s="83"/>
      <c r="I496" s="83"/>
      <c r="J496" s="83"/>
      <c r="K496" s="83"/>
      <c r="L496" s="6"/>
    </row>
    <row r="497" spans="2:12" ht="18" customHeight="1" x14ac:dyDescent="0.2">
      <c r="B497" s="183" t="s">
        <v>1032</v>
      </c>
      <c r="C497" s="82"/>
      <c r="D497" s="83"/>
      <c r="E497" s="83"/>
      <c r="F497" s="83"/>
      <c r="G497" s="83"/>
      <c r="H497" s="83"/>
      <c r="I497" s="83"/>
      <c r="J497" s="83"/>
      <c r="K497" s="83"/>
      <c r="L497" s="6"/>
    </row>
    <row r="498" spans="2:12" ht="18" customHeight="1" x14ac:dyDescent="0.2">
      <c r="B498" s="1"/>
      <c r="C498" s="82"/>
      <c r="D498" s="476" t="s">
        <v>91</v>
      </c>
      <c r="E498" s="477"/>
      <c r="F498" s="477"/>
      <c r="G498" s="477"/>
      <c r="H498" s="478"/>
      <c r="I498" s="519"/>
      <c r="J498" s="520"/>
      <c r="K498" s="521"/>
      <c r="L498" s="6"/>
    </row>
    <row r="499" spans="2:12" ht="18" customHeight="1" x14ac:dyDescent="0.2">
      <c r="B499" s="1"/>
      <c r="C499" s="82"/>
      <c r="D499" s="476" t="s">
        <v>92</v>
      </c>
      <c r="E499" s="477"/>
      <c r="F499" s="477"/>
      <c r="G499" s="477"/>
      <c r="H499" s="478"/>
      <c r="I499" s="519"/>
      <c r="J499" s="520"/>
      <c r="K499" s="521"/>
      <c r="L499" s="6"/>
    </row>
    <row r="500" spans="2:12" ht="18" customHeight="1" x14ac:dyDescent="0.2">
      <c r="B500" s="1"/>
      <c r="C500" s="82"/>
      <c r="D500" s="476" t="s">
        <v>93</v>
      </c>
      <c r="E500" s="477"/>
      <c r="F500" s="477"/>
      <c r="G500" s="477"/>
      <c r="H500" s="478"/>
      <c r="I500" s="519"/>
      <c r="J500" s="520"/>
      <c r="K500" s="521"/>
      <c r="L500" s="6"/>
    </row>
    <row r="501" spans="2:12" ht="18" customHeight="1" x14ac:dyDescent="0.2">
      <c r="B501" s="1"/>
      <c r="C501" s="82"/>
      <c r="D501" s="476" t="s">
        <v>94</v>
      </c>
      <c r="E501" s="477"/>
      <c r="F501" s="477"/>
      <c r="G501" s="477"/>
      <c r="H501" s="478"/>
      <c r="I501" s="519"/>
      <c r="J501" s="520"/>
      <c r="K501" s="521"/>
      <c r="L501" s="6"/>
    </row>
    <row r="502" spans="2:12" ht="18" customHeight="1" x14ac:dyDescent="0.2">
      <c r="B502" s="1"/>
      <c r="C502" s="82"/>
      <c r="D502" s="476" t="s">
        <v>95</v>
      </c>
      <c r="E502" s="477"/>
      <c r="F502" s="477"/>
      <c r="G502" s="477"/>
      <c r="H502" s="478"/>
      <c r="I502" s="519"/>
      <c r="J502" s="520"/>
      <c r="K502" s="521"/>
      <c r="L502" s="6"/>
    </row>
    <row r="503" spans="2:12" ht="18" customHeight="1" x14ac:dyDescent="0.2">
      <c r="B503" s="1"/>
      <c r="C503" s="82"/>
      <c r="D503" s="476" t="s">
        <v>96</v>
      </c>
      <c r="E503" s="477"/>
      <c r="F503" s="477"/>
      <c r="G503" s="477"/>
      <c r="H503" s="478"/>
      <c r="I503" s="519"/>
      <c r="J503" s="520"/>
      <c r="K503" s="521"/>
      <c r="L503" s="6"/>
    </row>
    <row r="504" spans="2:12" ht="18" customHeight="1" x14ac:dyDescent="0.2">
      <c r="B504" s="1"/>
      <c r="C504" s="82"/>
      <c r="D504" s="476" t="s">
        <v>97</v>
      </c>
      <c r="E504" s="477"/>
      <c r="F504" s="477"/>
      <c r="G504" s="477"/>
      <c r="H504" s="478"/>
      <c r="I504" s="519"/>
      <c r="J504" s="520"/>
      <c r="K504" s="521"/>
      <c r="L504" s="6"/>
    </row>
    <row r="505" spans="2:12" ht="5.25" customHeight="1" x14ac:dyDescent="0.2">
      <c r="B505" s="1"/>
      <c r="C505" s="82"/>
      <c r="D505" s="9"/>
      <c r="E505" s="9"/>
      <c r="F505" s="9"/>
      <c r="G505" s="9"/>
      <c r="H505" s="9"/>
      <c r="I505" s="86"/>
      <c r="J505" s="86"/>
      <c r="K505" s="86"/>
      <c r="L505" s="6"/>
    </row>
    <row r="506" spans="2:12" ht="18" customHeight="1" x14ac:dyDescent="0.2">
      <c r="B506" s="183" t="s">
        <v>1033</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98</v>
      </c>
      <c r="G508" s="503"/>
      <c r="H508" s="504"/>
      <c r="I508" s="504"/>
      <c r="J508" s="504"/>
      <c r="K508" s="504"/>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1140</v>
      </c>
      <c r="G510" s="503"/>
      <c r="H510" s="504"/>
      <c r="I510" s="504"/>
      <c r="J510" s="504"/>
      <c r="K510" s="504"/>
      <c r="L510" s="386"/>
    </row>
    <row r="511" spans="2:12" ht="18" customHeight="1" x14ac:dyDescent="0.2">
      <c r="B511" s="1"/>
      <c r="C511" s="82"/>
      <c r="D511" s="10"/>
      <c r="E511" s="10"/>
      <c r="F511" s="10"/>
      <c r="G511" s="10"/>
      <c r="H511" s="10"/>
      <c r="I511" s="83"/>
      <c r="J511" s="83"/>
      <c r="K511" s="83"/>
      <c r="L511" s="386"/>
    </row>
    <row r="512" spans="2:12" ht="18" customHeight="1" x14ac:dyDescent="0.2">
      <c r="B512" s="1"/>
      <c r="C512" s="82"/>
      <c r="D512" s="10"/>
      <c r="E512" s="10"/>
      <c r="F512" s="11" t="s">
        <v>99</v>
      </c>
      <c r="G512" s="503"/>
      <c r="H512" s="504"/>
      <c r="I512" s="504"/>
      <c r="J512" s="504"/>
      <c r="K512" s="504"/>
      <c r="L512" s="6"/>
    </row>
    <row r="513" spans="2:12" ht="9" customHeight="1" x14ac:dyDescent="0.2">
      <c r="B513" s="74"/>
      <c r="C513" s="87"/>
      <c r="D513" s="568"/>
      <c r="E513" s="568"/>
      <c r="F513" s="568"/>
      <c r="G513" s="568"/>
      <c r="H513" s="568"/>
      <c r="I513" s="568"/>
      <c r="J513" s="568"/>
      <c r="K513" s="568"/>
      <c r="L513" s="76"/>
    </row>
    <row r="514" spans="2:12" ht="18" customHeight="1" x14ac:dyDescent="0.2">
      <c r="B514" s="24" t="s">
        <v>1034</v>
      </c>
      <c r="C514" s="24"/>
      <c r="D514" s="25"/>
      <c r="E514" s="25"/>
      <c r="F514" s="25"/>
      <c r="G514" s="25"/>
      <c r="H514" s="25"/>
      <c r="I514" s="25"/>
      <c r="J514" s="25"/>
      <c r="K514" s="25"/>
      <c r="L514" s="26"/>
    </row>
    <row r="515" spans="2:12" ht="18" customHeight="1" x14ac:dyDescent="0.2">
      <c r="B515" s="84" t="s">
        <v>192</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87"/>
      <c r="C517" s="486" t="s">
        <v>209</v>
      </c>
      <c r="D517" s="487"/>
      <c r="E517" s="488" t="s">
        <v>385</v>
      </c>
      <c r="F517" s="489"/>
      <c r="G517" s="487"/>
      <c r="H517" s="224" t="s">
        <v>525</v>
      </c>
      <c r="I517" s="225" t="s">
        <v>606</v>
      </c>
      <c r="J517" s="204"/>
      <c r="K517" s="121"/>
      <c r="L517" s="122"/>
    </row>
    <row r="518" spans="2:12" ht="39" customHeight="1" x14ac:dyDescent="0.2">
      <c r="B518" s="187">
        <v>1</v>
      </c>
      <c r="C518" s="490"/>
      <c r="D518" s="491"/>
      <c r="E518" s="490"/>
      <c r="F518" s="491"/>
      <c r="G518" s="491"/>
      <c r="H518" s="202" t="str">
        <f>IF(ISERROR(VLOOKUP(E518,target_groups_intermeds_benefic_table,2,FALSE)),"",IF(VLOOKUP(E518,target_groups_intermeds_benefic_table,2,FALSE)=0,"",VLOOKUP(E518,target_groups_intermeds_benefic_table,2,FALSE)))</f>
        <v/>
      </c>
      <c r="I518" s="202" t="str">
        <f>IF(ISERROR(VLOOKUP(E518,target_groups_intermeds_benefic_table,3,FALSE)),"",IF(VLOOKUP(E518,target_groups_intermeds_benefic_table,3,FALSE)=0,"",VLOOKUP(E518,target_groups_intermeds_benefic_table,3,FALSE)))</f>
        <v/>
      </c>
      <c r="J518" s="204"/>
      <c r="K518" s="121"/>
      <c r="L518" s="122"/>
    </row>
    <row r="519" spans="2:12" ht="12.75" customHeight="1" x14ac:dyDescent="0.2">
      <c r="B519" s="187"/>
      <c r="C519" s="205"/>
      <c r="D519" s="206"/>
      <c r="E519" s="205"/>
      <c r="F519" s="207"/>
      <c r="G519" s="206"/>
      <c r="H519" s="203"/>
      <c r="I519" s="203"/>
      <c r="J519" s="204"/>
      <c r="K519" s="121"/>
      <c r="L519" s="122"/>
    </row>
    <row r="520" spans="2:12" ht="39" customHeight="1" x14ac:dyDescent="0.2">
      <c r="B520" s="187">
        <v>2</v>
      </c>
      <c r="C520" s="490"/>
      <c r="D520" s="491"/>
      <c r="E520" s="490"/>
      <c r="F520" s="491"/>
      <c r="G520" s="491"/>
      <c r="H520" s="202" t="str">
        <f>IF(ISERROR(VLOOKUP(E520,target_groups_intermeds_benefic_table,2,FALSE)),"",IF(VLOOKUP(E520,target_groups_intermeds_benefic_table,2,FALSE)=0,"",VLOOKUP(E520,target_groups_intermeds_benefic_table,2,FALSE)))</f>
        <v/>
      </c>
      <c r="I520" s="202" t="str">
        <f>IF(ISERROR(VLOOKUP(E520,target_groups_intermeds_benefic_table,3,FALSE)),"",IF(VLOOKUP(E520,target_groups_intermeds_benefic_table,3,FALSE)=0,"",VLOOKUP(E520,target_groups_intermeds_benefic_table,3,FALSE)))</f>
        <v/>
      </c>
      <c r="J520" s="204"/>
      <c r="K520" s="121"/>
      <c r="L520" s="122"/>
    </row>
    <row r="521" spans="2:12" ht="10.5" customHeight="1" x14ac:dyDescent="0.2">
      <c r="B521" s="187"/>
      <c r="C521" s="205"/>
      <c r="D521" s="206"/>
      <c r="E521" s="205"/>
      <c r="F521" s="207"/>
      <c r="G521" s="206"/>
      <c r="H521" s="203"/>
      <c r="I521" s="203"/>
      <c r="J521" s="204"/>
      <c r="K521" s="121"/>
      <c r="L521" s="122"/>
    </row>
    <row r="522" spans="2:12" ht="39" customHeight="1" x14ac:dyDescent="0.2">
      <c r="B522" s="187">
        <v>3</v>
      </c>
      <c r="C522" s="531"/>
      <c r="D522" s="533"/>
      <c r="E522" s="531"/>
      <c r="F522" s="532"/>
      <c r="G522" s="533"/>
      <c r="H522" s="202" t="str">
        <f>IF(ISERROR(VLOOKUP(E522,target_groups_intermeds_benefic_table,2,FALSE)),"",IF(VLOOKUP(E522,target_groups_intermeds_benefic_table,2,FALSE)=0,"",VLOOKUP(E522,target_groups_intermeds_benefic_table,2,FALSE)))</f>
        <v/>
      </c>
      <c r="I522" s="202" t="str">
        <f>IF(ISERROR(VLOOKUP(E522,target_groups_intermeds_benefic_table,3,FALSE)),"",IF(VLOOKUP(E522,target_groups_intermeds_benefic_table,3,FALSE)=0,"",VLOOKUP(E522,target_groups_intermeds_benefic_table,3,FALSE)))</f>
        <v/>
      </c>
      <c r="J522" s="204"/>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193</v>
      </c>
      <c r="C537" s="99"/>
      <c r="D537" s="16"/>
      <c r="E537" s="16"/>
      <c r="F537" s="16"/>
      <c r="G537" s="16"/>
      <c r="H537" s="16"/>
      <c r="I537" s="16"/>
      <c r="J537" s="16"/>
      <c r="K537" s="16"/>
      <c r="L537" s="16"/>
    </row>
    <row r="538" spans="2:14" ht="18" customHeight="1" x14ac:dyDescent="0.2">
      <c r="B538" s="100" t="s">
        <v>194</v>
      </c>
      <c r="C538" s="25"/>
      <c r="D538" s="25"/>
      <c r="E538" s="25"/>
      <c r="F538" s="25"/>
      <c r="G538" s="25"/>
      <c r="H538" s="25"/>
      <c r="I538" s="25"/>
      <c r="J538" s="25"/>
      <c r="K538" s="25"/>
      <c r="L538" s="26"/>
    </row>
    <row r="539" spans="2:14" ht="18" customHeight="1" x14ac:dyDescent="0.2">
      <c r="B539" s="178"/>
      <c r="C539" s="132"/>
      <c r="D539" s="132"/>
      <c r="E539" s="132"/>
      <c r="F539" s="132"/>
      <c r="G539" s="132"/>
      <c r="H539" s="132"/>
      <c r="I539" s="132"/>
      <c r="J539" s="132"/>
      <c r="K539" s="132"/>
      <c r="L539" s="177"/>
    </row>
    <row r="540" spans="2:14" ht="18" customHeight="1" x14ac:dyDescent="0.2">
      <c r="B540" s="178"/>
      <c r="C540" s="132"/>
      <c r="D540" s="132"/>
      <c r="E540" s="132"/>
      <c r="F540" s="132"/>
      <c r="G540" s="132"/>
      <c r="H540" s="132"/>
      <c r="I540" s="132"/>
      <c r="J540" s="132"/>
      <c r="K540" s="132"/>
      <c r="L540" s="177"/>
    </row>
    <row r="541" spans="2:14" ht="18" customHeight="1" x14ac:dyDescent="0.2">
      <c r="B541" s="178"/>
      <c r="C541" s="132"/>
      <c r="D541" s="132"/>
      <c r="E541" s="132"/>
      <c r="F541" s="132"/>
      <c r="G541" s="132"/>
      <c r="H541" s="132"/>
      <c r="I541" s="132"/>
      <c r="J541" s="132"/>
      <c r="K541" s="132"/>
      <c r="L541" s="177"/>
    </row>
    <row r="542" spans="2:14" ht="18" customHeight="1" x14ac:dyDescent="0.2">
      <c r="B542" s="178"/>
      <c r="C542" s="132"/>
      <c r="D542" s="132"/>
      <c r="E542" s="132"/>
      <c r="F542" s="132"/>
      <c r="G542" s="132"/>
      <c r="H542" s="132"/>
      <c r="I542" s="132"/>
      <c r="J542" s="132"/>
      <c r="K542" s="132"/>
      <c r="L542" s="177"/>
    </row>
    <row r="543" spans="2:14" ht="18" customHeight="1" x14ac:dyDescent="0.2">
      <c r="B543" s="178"/>
      <c r="C543" s="132"/>
      <c r="D543" s="132"/>
      <c r="E543" s="132"/>
      <c r="F543" s="132"/>
      <c r="G543" s="132"/>
      <c r="H543" s="132"/>
      <c r="I543" s="132"/>
      <c r="J543" s="132"/>
      <c r="K543" s="132"/>
      <c r="L543" s="177"/>
    </row>
    <row r="544" spans="2:14" ht="18" customHeight="1" x14ac:dyDescent="0.2">
      <c r="B544" s="178"/>
      <c r="C544" s="132"/>
      <c r="D544" s="132"/>
      <c r="E544" s="132"/>
      <c r="F544" s="132"/>
      <c r="G544" s="132"/>
      <c r="H544" s="132"/>
      <c r="I544" s="132"/>
      <c r="J544" s="132"/>
      <c r="K544" s="132"/>
      <c r="L544" s="177"/>
    </row>
    <row r="545" spans="2:12" ht="18" customHeight="1" x14ac:dyDescent="0.2">
      <c r="B545" s="178"/>
      <c r="C545" s="132"/>
      <c r="D545" s="132"/>
      <c r="E545" s="132"/>
      <c r="F545" s="132"/>
      <c r="G545" s="132"/>
      <c r="H545" s="132"/>
      <c r="I545" s="132"/>
      <c r="J545" s="132"/>
      <c r="K545" s="132"/>
      <c r="L545" s="177"/>
    </row>
    <row r="546" spans="2:12" ht="18" customHeight="1" x14ac:dyDescent="0.2">
      <c r="B546" s="178"/>
      <c r="C546" s="132"/>
      <c r="D546" s="132"/>
      <c r="E546" s="132"/>
      <c r="F546" s="132"/>
      <c r="G546" s="132"/>
      <c r="H546" s="132"/>
      <c r="I546" s="132"/>
      <c r="J546" s="132"/>
      <c r="K546" s="132"/>
      <c r="L546" s="177"/>
    </row>
    <row r="547" spans="2:12" ht="18" customHeight="1" x14ac:dyDescent="0.2">
      <c r="B547" s="178"/>
      <c r="C547" s="132"/>
      <c r="D547" s="132"/>
      <c r="E547" s="132"/>
      <c r="F547" s="132"/>
      <c r="G547" s="132"/>
      <c r="H547" s="132"/>
      <c r="I547" s="132"/>
      <c r="J547" s="132"/>
      <c r="K547" s="132"/>
      <c r="L547" s="177"/>
    </row>
    <row r="548" spans="2:12" ht="18" customHeight="1" x14ac:dyDescent="0.2">
      <c r="B548" s="178"/>
      <c r="C548" s="132"/>
      <c r="D548" s="132"/>
      <c r="E548" s="132"/>
      <c r="F548" s="132"/>
      <c r="G548" s="132"/>
      <c r="H548" s="132"/>
      <c r="I548" s="132"/>
      <c r="J548" s="132"/>
      <c r="K548" s="132"/>
      <c r="L548" s="177"/>
    </row>
    <row r="549" spans="2:12" ht="18" customHeight="1" x14ac:dyDescent="0.2">
      <c r="B549" s="178"/>
      <c r="C549" s="132"/>
      <c r="D549" s="132"/>
      <c r="E549" s="132"/>
      <c r="F549" s="132"/>
      <c r="G549" s="132"/>
      <c r="H549" s="132"/>
      <c r="I549" s="132"/>
      <c r="J549" s="132"/>
      <c r="K549" s="132"/>
      <c r="L549" s="177"/>
    </row>
    <row r="550" spans="2:12" ht="18" customHeight="1" x14ac:dyDescent="0.2">
      <c r="B550" s="178"/>
      <c r="C550" s="132"/>
      <c r="D550" s="132"/>
      <c r="E550" s="132"/>
      <c r="F550" s="132"/>
      <c r="G550" s="132"/>
      <c r="H550" s="132"/>
      <c r="I550" s="132"/>
      <c r="J550" s="132"/>
      <c r="K550" s="132"/>
      <c r="L550" s="177"/>
    </row>
    <row r="551" spans="2:12" ht="18" customHeight="1" x14ac:dyDescent="0.2">
      <c r="B551" s="178"/>
      <c r="C551" s="132"/>
      <c r="D551" s="132"/>
      <c r="E551" s="132"/>
      <c r="F551" s="132"/>
      <c r="G551" s="132"/>
      <c r="H551" s="132"/>
      <c r="I551" s="132"/>
      <c r="J551" s="132"/>
      <c r="K551" s="132"/>
      <c r="L551" s="177"/>
    </row>
    <row r="552" spans="2:12" ht="18" customHeight="1" x14ac:dyDescent="0.2">
      <c r="B552" s="178"/>
      <c r="C552" s="132"/>
      <c r="D552" s="132"/>
      <c r="E552" s="132"/>
      <c r="F552" s="132"/>
      <c r="G552" s="132"/>
      <c r="H552" s="132"/>
      <c r="I552" s="132"/>
      <c r="J552" s="132"/>
      <c r="K552" s="132"/>
      <c r="L552" s="177"/>
    </row>
    <row r="553" spans="2:12" ht="18" customHeight="1" x14ac:dyDescent="0.2">
      <c r="B553" s="178"/>
      <c r="C553" s="132"/>
      <c r="D553" s="132"/>
      <c r="E553" s="132"/>
      <c r="F553" s="132"/>
      <c r="G553" s="132"/>
      <c r="H553" s="132"/>
      <c r="I553" s="132"/>
      <c r="J553" s="132"/>
      <c r="K553" s="132"/>
      <c r="L553" s="177"/>
    </row>
    <row r="554" spans="2:12" ht="18" customHeight="1" x14ac:dyDescent="0.2">
      <c r="B554" s="178"/>
      <c r="C554" s="132"/>
      <c r="D554" s="132"/>
      <c r="E554" s="132"/>
      <c r="F554" s="132"/>
      <c r="G554" s="132"/>
      <c r="H554" s="132"/>
      <c r="I554" s="132"/>
      <c r="J554" s="132"/>
      <c r="K554" s="132"/>
      <c r="L554" s="177"/>
    </row>
    <row r="555" spans="2:12" ht="18" customHeight="1" x14ac:dyDescent="0.2">
      <c r="B555" s="178"/>
      <c r="C555" s="132"/>
      <c r="D555" s="132"/>
      <c r="E555" s="132"/>
      <c r="F555" s="132"/>
      <c r="G555" s="132"/>
      <c r="H555" s="132"/>
      <c r="I555" s="132"/>
      <c r="J555" s="132"/>
      <c r="K555" s="132"/>
      <c r="L555" s="177"/>
    </row>
    <row r="556" spans="2:12" ht="18" customHeight="1" x14ac:dyDescent="0.2">
      <c r="B556" s="178"/>
      <c r="C556" s="132"/>
      <c r="D556" s="132"/>
      <c r="E556" s="132"/>
      <c r="F556" s="132"/>
      <c r="G556" s="132"/>
      <c r="H556" s="132"/>
      <c r="I556" s="132"/>
      <c r="J556" s="132"/>
      <c r="K556" s="132"/>
      <c r="L556" s="177"/>
    </row>
    <row r="557" spans="2:12" ht="18" customHeight="1" x14ac:dyDescent="0.2">
      <c r="B557" s="178"/>
      <c r="C557" s="132"/>
      <c r="D557" s="132"/>
      <c r="E557" s="132"/>
      <c r="F557" s="132"/>
      <c r="G557" s="132"/>
      <c r="H557" s="132"/>
      <c r="I557" s="132"/>
      <c r="J557" s="132"/>
      <c r="K557" s="132"/>
      <c r="L557" s="177"/>
    </row>
    <row r="558" spans="2:12" ht="18" customHeight="1" x14ac:dyDescent="0.2">
      <c r="B558" s="178"/>
      <c r="C558" s="132"/>
      <c r="D558" s="132"/>
      <c r="E558" s="132"/>
      <c r="F558" s="132"/>
      <c r="G558" s="132"/>
      <c r="H558" s="132"/>
      <c r="I558" s="132"/>
      <c r="J558" s="132"/>
      <c r="K558" s="132"/>
      <c r="L558" s="177"/>
    </row>
    <row r="559" spans="2:12" ht="18" customHeight="1" x14ac:dyDescent="0.2">
      <c r="B559" s="178"/>
      <c r="C559" s="132"/>
      <c r="D559" s="132"/>
      <c r="E559" s="132"/>
      <c r="F559" s="132"/>
      <c r="G559" s="132"/>
      <c r="H559" s="132"/>
      <c r="I559" s="132"/>
      <c r="J559" s="132"/>
      <c r="K559" s="132"/>
      <c r="L559" s="177"/>
    </row>
    <row r="560" spans="2:12" ht="18" customHeight="1" x14ac:dyDescent="0.2">
      <c r="B560" s="178"/>
      <c r="C560" s="132"/>
      <c r="D560" s="132"/>
      <c r="E560" s="132"/>
      <c r="F560" s="132"/>
      <c r="G560" s="132"/>
      <c r="H560" s="132"/>
      <c r="I560" s="132"/>
      <c r="J560" s="132"/>
      <c r="K560" s="132"/>
      <c r="L560" s="177"/>
    </row>
    <row r="561" spans="2:13" ht="18" customHeight="1" x14ac:dyDescent="0.2">
      <c r="B561" s="172"/>
      <c r="C561" s="170"/>
      <c r="D561" s="173"/>
      <c r="E561" s="173"/>
      <c r="F561" s="173"/>
      <c r="G561" s="173"/>
      <c r="H561" s="173"/>
      <c r="I561" s="173"/>
      <c r="J561" s="173"/>
      <c r="K561" s="173"/>
      <c r="L561" s="174"/>
    </row>
    <row r="562" spans="2:13" s="78" customFormat="1" ht="18" customHeight="1" x14ac:dyDescent="0.2"/>
    <row r="563" spans="2:13" ht="18" customHeight="1" x14ac:dyDescent="0.2">
      <c r="B563" s="100" t="s">
        <v>195</v>
      </c>
      <c r="C563" s="25"/>
      <c r="D563" s="25"/>
      <c r="E563" s="25"/>
      <c r="F563" s="25"/>
      <c r="G563" s="25"/>
      <c r="H563" s="25"/>
      <c r="I563" s="25"/>
      <c r="J563" s="25"/>
      <c r="K563" s="25"/>
      <c r="L563" s="26"/>
    </row>
    <row r="564" spans="2:13" s="78" customFormat="1" ht="13.5" customHeight="1" x14ac:dyDescent="0.2">
      <c r="B564" s="180"/>
      <c r="C564" s="118"/>
      <c r="D564" s="118"/>
      <c r="E564" s="118"/>
      <c r="F564" s="118"/>
      <c r="G564" s="118"/>
      <c r="H564" s="118"/>
      <c r="I564" s="118"/>
      <c r="J564" s="118"/>
      <c r="K564" s="118"/>
      <c r="L564" s="181"/>
      <c r="M564" s="97"/>
    </row>
    <row r="565" spans="2:13" s="78" customFormat="1" ht="18" customHeight="1" x14ac:dyDescent="0.2">
      <c r="B565" s="183" t="s">
        <v>395</v>
      </c>
      <c r="C565" s="118"/>
      <c r="D565" s="499" t="s">
        <v>106</v>
      </c>
      <c r="E565" s="499"/>
      <c r="F565" s="499" t="s">
        <v>107</v>
      </c>
      <c r="G565" s="499"/>
      <c r="H565" s="499" t="s">
        <v>108</v>
      </c>
      <c r="I565" s="499"/>
      <c r="J565" s="499" t="s">
        <v>109</v>
      </c>
      <c r="K565" s="499"/>
      <c r="L565" s="181"/>
      <c r="M565" s="97"/>
    </row>
    <row r="566" spans="2:13" s="78" customFormat="1" ht="35.25" customHeight="1" x14ac:dyDescent="0.2">
      <c r="B566" s="500" t="s">
        <v>390</v>
      </c>
      <c r="C566" s="501"/>
      <c r="D566" s="559"/>
      <c r="E566" s="485"/>
      <c r="F566" s="559"/>
      <c r="G566" s="485"/>
      <c r="H566" s="484"/>
      <c r="I566" s="485"/>
      <c r="J566" s="484"/>
      <c r="K566" s="485"/>
      <c r="L566" s="181"/>
      <c r="M566" s="97"/>
    </row>
    <row r="567" spans="2:13" s="78" customFormat="1" ht="35.25" customHeight="1" x14ac:dyDescent="0.2">
      <c r="B567" s="500" t="s">
        <v>389</v>
      </c>
      <c r="C567" s="501"/>
      <c r="D567" s="484"/>
      <c r="E567" s="485"/>
      <c r="F567" s="484"/>
      <c r="G567" s="485"/>
      <c r="H567" s="484"/>
      <c r="I567" s="485"/>
      <c r="J567" s="484"/>
      <c r="K567" s="485"/>
      <c r="L567" s="181"/>
      <c r="M567" s="97"/>
    </row>
    <row r="568" spans="2:13" s="78" customFormat="1" ht="35.25" customHeight="1" x14ac:dyDescent="0.2">
      <c r="B568" s="500" t="s">
        <v>388</v>
      </c>
      <c r="C568" s="501"/>
      <c r="D568" s="484"/>
      <c r="E568" s="485"/>
      <c r="F568" s="484"/>
      <c r="G568" s="485"/>
      <c r="H568" s="484"/>
      <c r="I568" s="485"/>
      <c r="J568" s="484"/>
      <c r="K568" s="485"/>
      <c r="L568" s="181"/>
      <c r="M568" s="97"/>
    </row>
    <row r="569" spans="2:13" s="78" customFormat="1" ht="35.25" customHeight="1" x14ac:dyDescent="0.2">
      <c r="B569" s="182"/>
      <c r="C569" s="226" t="s">
        <v>19</v>
      </c>
      <c r="D569" s="484"/>
      <c r="E569" s="485"/>
      <c r="F569" s="484"/>
      <c r="G569" s="485"/>
      <c r="H569" s="484"/>
      <c r="I569" s="485"/>
      <c r="J569" s="484"/>
      <c r="K569" s="485"/>
      <c r="L569" s="181"/>
      <c r="M569" s="97"/>
    </row>
    <row r="570" spans="2:13" s="78" customFormat="1" ht="35.25" customHeight="1" x14ac:dyDescent="0.2">
      <c r="B570" s="182"/>
      <c r="C570" s="226" t="s">
        <v>20</v>
      </c>
      <c r="D570" s="484"/>
      <c r="E570" s="485"/>
      <c r="F570" s="484"/>
      <c r="G570" s="485"/>
      <c r="H570" s="484"/>
      <c r="I570" s="485"/>
      <c r="J570" s="484"/>
      <c r="K570" s="485"/>
      <c r="L570" s="181"/>
      <c r="M570" s="97"/>
    </row>
    <row r="571" spans="2:13" s="78" customFormat="1" ht="35.25" customHeight="1" x14ac:dyDescent="0.2">
      <c r="B571" s="182"/>
      <c r="C571" s="227" t="s">
        <v>396</v>
      </c>
      <c r="D571" s="484"/>
      <c r="E571" s="485"/>
      <c r="F571" s="484"/>
      <c r="G571" s="485"/>
      <c r="H571" s="484"/>
      <c r="I571" s="485"/>
      <c r="J571" s="484"/>
      <c r="K571" s="485"/>
      <c r="L571" s="181"/>
      <c r="M571" s="97"/>
    </row>
    <row r="572" spans="2:13" s="78" customFormat="1" ht="35.25" customHeight="1" x14ac:dyDescent="0.2">
      <c r="B572" s="512" t="s">
        <v>420</v>
      </c>
      <c r="C572" s="513"/>
      <c r="D572" s="559"/>
      <c r="E572" s="494"/>
      <c r="F572" s="559"/>
      <c r="G572" s="485"/>
      <c r="H572" s="484"/>
      <c r="I572" s="485"/>
      <c r="J572" s="484"/>
      <c r="K572" s="485"/>
      <c r="L572" s="181"/>
      <c r="M572" s="97"/>
    </row>
    <row r="573" spans="2:13" s="78" customFormat="1" ht="18" customHeight="1" x14ac:dyDescent="0.2">
      <c r="B573" s="180"/>
      <c r="C573" s="118"/>
      <c r="D573" s="534"/>
      <c r="E573" s="534"/>
      <c r="F573" s="534"/>
      <c r="G573" s="534"/>
      <c r="H573" s="534"/>
      <c r="I573" s="534"/>
      <c r="J573" s="534"/>
      <c r="K573" s="534"/>
      <c r="L573" s="181"/>
      <c r="M573" s="97"/>
    </row>
    <row r="574" spans="2:13" s="78" customFormat="1" ht="18" customHeight="1" x14ac:dyDescent="0.2">
      <c r="B574" s="183" t="s">
        <v>393</v>
      </c>
      <c r="C574" s="118"/>
      <c r="D574" s="499" t="s">
        <v>106</v>
      </c>
      <c r="E574" s="499"/>
      <c r="F574" s="499" t="s">
        <v>107</v>
      </c>
      <c r="G574" s="499"/>
      <c r="H574" s="499" t="s">
        <v>108</v>
      </c>
      <c r="I574" s="499"/>
      <c r="J574" s="499" t="s">
        <v>109</v>
      </c>
      <c r="K574" s="499"/>
      <c r="L574" s="181"/>
      <c r="M574" s="97"/>
    </row>
    <row r="575" spans="2:13" s="78" customFormat="1" ht="31.5" customHeight="1" x14ac:dyDescent="0.2">
      <c r="B575" s="500" t="s">
        <v>66</v>
      </c>
      <c r="C575" s="501"/>
      <c r="D575" s="484"/>
      <c r="E575" s="485"/>
      <c r="F575" s="484"/>
      <c r="G575" s="485"/>
      <c r="H575" s="484"/>
      <c r="I575" s="485"/>
      <c r="J575" s="484"/>
      <c r="K575" s="485"/>
      <c r="L575" s="181"/>
      <c r="M575" s="97"/>
    </row>
    <row r="576" spans="2:13" s="78" customFormat="1" ht="31.5" customHeight="1" x14ac:dyDescent="0.2">
      <c r="B576" s="500" t="s">
        <v>391</v>
      </c>
      <c r="C576" s="501"/>
      <c r="D576" s="484"/>
      <c r="E576" s="485"/>
      <c r="F576" s="484"/>
      <c r="G576" s="485"/>
      <c r="H576" s="484"/>
      <c r="I576" s="485"/>
      <c r="J576" s="484"/>
      <c r="K576" s="485"/>
      <c r="L576" s="181"/>
      <c r="M576" s="97"/>
    </row>
    <row r="577" spans="2:13" s="78" customFormat="1" ht="31.5" customHeight="1" x14ac:dyDescent="0.2">
      <c r="B577" s="500" t="s">
        <v>199</v>
      </c>
      <c r="C577" s="501"/>
      <c r="D577" s="484"/>
      <c r="E577" s="485"/>
      <c r="F577" s="484"/>
      <c r="G577" s="485"/>
      <c r="H577" s="484"/>
      <c r="I577" s="485"/>
      <c r="J577" s="484"/>
      <c r="K577" s="485"/>
      <c r="L577" s="181"/>
      <c r="M577" s="97"/>
    </row>
    <row r="578" spans="2:13" s="78" customFormat="1" ht="31.5" customHeight="1" x14ac:dyDescent="0.2">
      <c r="B578" s="560" t="s">
        <v>68</v>
      </c>
      <c r="C578" s="561"/>
      <c r="D578" s="484"/>
      <c r="E578" s="485"/>
      <c r="F578" s="484"/>
      <c r="G578" s="485"/>
      <c r="H578" s="484"/>
      <c r="I578" s="485"/>
      <c r="J578" s="484"/>
      <c r="K578" s="485"/>
      <c r="L578" s="181"/>
      <c r="M578" s="97"/>
    </row>
    <row r="579" spans="2:13" s="78" customFormat="1" ht="31.5" customHeight="1" x14ac:dyDescent="0.2">
      <c r="B579" s="500" t="s">
        <v>392</v>
      </c>
      <c r="C579" s="501"/>
      <c r="D579" s="484"/>
      <c r="E579" s="485"/>
      <c r="F579" s="484"/>
      <c r="G579" s="485"/>
      <c r="H579" s="484"/>
      <c r="I579" s="485"/>
      <c r="J579" s="484"/>
      <c r="K579" s="485"/>
      <c r="L579" s="181"/>
      <c r="M579" s="97"/>
    </row>
    <row r="580" spans="2:13" s="78" customFormat="1" ht="31.5" customHeight="1" x14ac:dyDescent="0.2">
      <c r="B580" s="500" t="s">
        <v>69</v>
      </c>
      <c r="C580" s="501"/>
      <c r="D580" s="484"/>
      <c r="E580" s="485"/>
      <c r="F580" s="484"/>
      <c r="G580" s="485"/>
      <c r="H580" s="484"/>
      <c r="I580" s="485"/>
      <c r="J580" s="484"/>
      <c r="K580" s="485"/>
      <c r="L580" s="181"/>
      <c r="M580" s="97"/>
    </row>
    <row r="581" spans="2:13" s="78" customFormat="1" ht="18" customHeight="1" x14ac:dyDescent="0.2">
      <c r="B581" s="180"/>
      <c r="C581" s="118"/>
      <c r="D581" s="534"/>
      <c r="E581" s="534"/>
      <c r="F581" s="534"/>
      <c r="G581" s="534"/>
      <c r="H581" s="534"/>
      <c r="I581" s="534"/>
      <c r="J581" s="534"/>
      <c r="K581" s="534"/>
      <c r="L581" s="181"/>
      <c r="M581" s="97"/>
    </row>
    <row r="582" spans="2:13" s="78" customFormat="1" ht="18" customHeight="1" x14ac:dyDescent="0.2">
      <c r="B582" s="183" t="s">
        <v>394</v>
      </c>
      <c r="C582" s="118"/>
      <c r="D582" s="499" t="s">
        <v>106</v>
      </c>
      <c r="E582" s="499"/>
      <c r="F582" s="499" t="s">
        <v>107</v>
      </c>
      <c r="G582" s="499"/>
      <c r="H582" s="499" t="s">
        <v>108</v>
      </c>
      <c r="I582" s="499"/>
      <c r="J582" s="499" t="s">
        <v>109</v>
      </c>
      <c r="K582" s="499"/>
      <c r="L582" s="181"/>
      <c r="M582" s="97"/>
    </row>
    <row r="583" spans="2:13" s="78" customFormat="1" ht="31.5" customHeight="1" x14ac:dyDescent="0.2">
      <c r="B583" s="500" t="s">
        <v>74</v>
      </c>
      <c r="C583" s="501"/>
      <c r="D583" s="484"/>
      <c r="E583" s="485"/>
      <c r="F583" s="484"/>
      <c r="G583" s="485"/>
      <c r="H583" s="484"/>
      <c r="I583" s="485"/>
      <c r="J583" s="484"/>
      <c r="K583" s="485"/>
      <c r="L583" s="181"/>
      <c r="M583" s="97"/>
    </row>
    <row r="584" spans="2:13" s="78" customFormat="1" ht="31.5" customHeight="1" x14ac:dyDescent="0.2">
      <c r="B584" s="500" t="s">
        <v>75</v>
      </c>
      <c r="C584" s="501"/>
      <c r="D584" s="484"/>
      <c r="E584" s="485"/>
      <c r="F584" s="484"/>
      <c r="G584" s="485"/>
      <c r="H584" s="484"/>
      <c r="I584" s="485"/>
      <c r="J584" s="484"/>
      <c r="K584" s="485"/>
      <c r="L584" s="181"/>
      <c r="M584" s="97"/>
    </row>
    <row r="585" spans="2:13" s="78" customFormat="1" ht="31.5" customHeight="1" x14ac:dyDescent="0.2">
      <c r="B585" s="500" t="s">
        <v>170</v>
      </c>
      <c r="C585" s="501"/>
      <c r="D585" s="484"/>
      <c r="E585" s="485"/>
      <c r="F585" s="484"/>
      <c r="G585" s="485"/>
      <c r="H585" s="484"/>
      <c r="I585" s="485"/>
      <c r="J585" s="484"/>
      <c r="K585" s="485"/>
      <c r="L585" s="181"/>
      <c r="M585" s="97"/>
    </row>
    <row r="586" spans="2:13" s="78" customFormat="1" ht="31.5" customHeight="1" x14ac:dyDescent="0.2">
      <c r="B586" s="560" t="s">
        <v>78</v>
      </c>
      <c r="C586" s="561"/>
      <c r="D586" s="535"/>
      <c r="E586" s="536"/>
      <c r="F586" s="535"/>
      <c r="G586" s="536"/>
      <c r="H586" s="535"/>
      <c r="I586" s="536"/>
      <c r="J586" s="535"/>
      <c r="K586" s="536"/>
      <c r="L586" s="181"/>
      <c r="M586" s="97"/>
    </row>
    <row r="587" spans="2:13" s="78" customFormat="1" ht="31.5" customHeight="1" x14ac:dyDescent="0.2">
      <c r="B587" s="500" t="s">
        <v>200</v>
      </c>
      <c r="C587" s="501"/>
      <c r="D587" s="535"/>
      <c r="E587" s="536"/>
      <c r="F587" s="535"/>
      <c r="G587" s="536"/>
      <c r="H587" s="535"/>
      <c r="I587" s="536"/>
      <c r="J587" s="535"/>
      <c r="K587" s="536"/>
      <c r="L587" s="181"/>
      <c r="M587" s="97"/>
    </row>
    <row r="588" spans="2:13" s="78" customFormat="1" ht="18" customHeight="1" x14ac:dyDescent="0.2">
      <c r="B588" s="180"/>
      <c r="C588" s="118"/>
      <c r="D588" s="534"/>
      <c r="E588" s="534"/>
      <c r="F588" s="534"/>
      <c r="G588" s="534"/>
      <c r="H588" s="534"/>
      <c r="I588" s="534"/>
      <c r="J588" s="534"/>
      <c r="K588" s="534"/>
      <c r="L588" s="181"/>
      <c r="M588" s="97"/>
    </row>
    <row r="589" spans="2:13" s="78" customFormat="1" ht="18" customHeight="1" x14ac:dyDescent="0.2">
      <c r="B589" s="183" t="s">
        <v>1348</v>
      </c>
      <c r="C589" s="118"/>
      <c r="D589" s="499" t="s">
        <v>106</v>
      </c>
      <c r="E589" s="499"/>
      <c r="F589" s="499" t="s">
        <v>107</v>
      </c>
      <c r="G589" s="499"/>
      <c r="H589" s="499" t="s">
        <v>108</v>
      </c>
      <c r="I589" s="499"/>
      <c r="J589" s="499" t="s">
        <v>109</v>
      </c>
      <c r="K589" s="499"/>
      <c r="L589" s="181"/>
      <c r="M589" s="97"/>
    </row>
    <row r="590" spans="2:13" s="78" customFormat="1" ht="31.5" customHeight="1" x14ac:dyDescent="0.2">
      <c r="B590" s="500" t="s">
        <v>196</v>
      </c>
      <c r="C590" s="501"/>
      <c r="D590" s="556" t="str">
        <f>IF(grant_requested_partner1&gt;0,Lists!V2,Lists!V3)</f>
        <v>No</v>
      </c>
      <c r="E590" s="557"/>
      <c r="F590" s="556" t="str">
        <f>IF(grant_requested_partner2&gt;0,Lists!$V$2,Lists!$V$3)</f>
        <v>No</v>
      </c>
      <c r="G590" s="557"/>
      <c r="H590" s="556" t="str">
        <f>IF(grant_requested_partner3&gt;0,Lists!$V$2,Lists!$V$3)</f>
        <v>No</v>
      </c>
      <c r="I590" s="557"/>
      <c r="J590" s="556" t="str">
        <f>IF(grant_requested_partner4&gt;0,Lists!$V$2,Lists!$V$3)</f>
        <v>No</v>
      </c>
      <c r="K590" s="557"/>
      <c r="L590" s="181"/>
      <c r="M590" s="97"/>
    </row>
    <row r="591" spans="2:13" s="78" customFormat="1" ht="31.5" customHeight="1" x14ac:dyDescent="0.2">
      <c r="B591" s="500" t="s">
        <v>197</v>
      </c>
      <c r="C591" s="501"/>
      <c r="D591" s="556" t="str">
        <f>IF(in_kind_partner1+cash_cofinancing_partner1&gt;0,Lists!V2,Lists!V3)</f>
        <v>No</v>
      </c>
      <c r="E591" s="557"/>
      <c r="F591" s="556" t="str">
        <f>IF(in_kind_partner2+cash_cofinancing_partner2&gt;0,Lists!V2,Lists!V3)</f>
        <v>No</v>
      </c>
      <c r="G591" s="557"/>
      <c r="H591" s="556" t="str">
        <f>IF(in_kind_partner3+cash_cofinancing_partner3&gt;0,Lists!V2,Lists!V3)</f>
        <v>No</v>
      </c>
      <c r="I591" s="557"/>
      <c r="J591" s="556" t="str">
        <f>IF(in_kind_partner4+cash_cofinancing_partner4&gt;0,Lists!V2,Lists!V3)</f>
        <v>No</v>
      </c>
      <c r="K591" s="557"/>
      <c r="L591" s="181"/>
      <c r="M591" s="97"/>
    </row>
    <row r="592" spans="2:13" s="78" customFormat="1" ht="31.5" customHeight="1" x14ac:dyDescent="0.2">
      <c r="B592" s="500" t="s">
        <v>17</v>
      </c>
      <c r="C592" s="501"/>
      <c r="D592" s="484"/>
      <c r="E592" s="485"/>
      <c r="F592" s="484"/>
      <c r="G592" s="485"/>
      <c r="H592" s="484"/>
      <c r="I592" s="485"/>
      <c r="J592" s="484"/>
      <c r="K592" s="485"/>
      <c r="L592" s="181"/>
      <c r="M592" s="97"/>
    </row>
    <row r="593" spans="2:13" s="78" customFormat="1" ht="31.5" customHeight="1" x14ac:dyDescent="0.2">
      <c r="B593" s="500" t="s">
        <v>18</v>
      </c>
      <c r="C593" s="501"/>
      <c r="D593" s="484"/>
      <c r="E593" s="485"/>
      <c r="F593" s="484"/>
      <c r="G593" s="485"/>
      <c r="H593" s="484"/>
      <c r="I593" s="485"/>
      <c r="J593" s="484"/>
      <c r="K593" s="485"/>
      <c r="L593" s="181"/>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425</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497" t="s">
        <v>421</v>
      </c>
      <c r="C599" s="498"/>
      <c r="D599" s="558" t="s">
        <v>426</v>
      </c>
      <c r="E599" s="558"/>
      <c r="F599" s="558"/>
      <c r="G599" s="558"/>
      <c r="H599" s="558"/>
      <c r="I599" s="558"/>
      <c r="J599" s="558"/>
      <c r="K599" s="558"/>
      <c r="L599" s="101"/>
      <c r="M599" s="97"/>
    </row>
    <row r="600" spans="2:13" s="78" customFormat="1" ht="12" customHeight="1" x14ac:dyDescent="0.2">
      <c r="B600" s="497"/>
      <c r="C600" s="498"/>
      <c r="D600" s="558"/>
      <c r="E600" s="558"/>
      <c r="F600" s="558"/>
      <c r="G600" s="558"/>
      <c r="H600" s="558"/>
      <c r="I600" s="558"/>
      <c r="J600" s="558"/>
      <c r="K600" s="558"/>
      <c r="L600" s="101"/>
      <c r="M600" s="97"/>
    </row>
    <row r="601" spans="2:13" s="78" customFormat="1" ht="12" customHeight="1" x14ac:dyDescent="0.2">
      <c r="B601" s="497"/>
      <c r="C601" s="498"/>
      <c r="D601" s="558"/>
      <c r="E601" s="558"/>
      <c r="F601" s="558"/>
      <c r="G601" s="558"/>
      <c r="H601" s="558"/>
      <c r="I601" s="558"/>
      <c r="J601" s="558"/>
      <c r="K601" s="558"/>
      <c r="L601" s="101"/>
      <c r="M601" s="97"/>
    </row>
    <row r="602" spans="2:13" s="78" customFormat="1" ht="12" customHeight="1" x14ac:dyDescent="0.2">
      <c r="B602" s="497"/>
      <c r="C602" s="498"/>
      <c r="D602" s="558"/>
      <c r="E602" s="558"/>
      <c r="F602" s="558"/>
      <c r="G602" s="558"/>
      <c r="H602" s="558"/>
      <c r="I602" s="558"/>
      <c r="J602" s="558"/>
      <c r="K602" s="558"/>
      <c r="L602" s="101"/>
      <c r="M602" s="97"/>
    </row>
    <row r="603" spans="2:13" s="78" customFormat="1" ht="12" customHeight="1" x14ac:dyDescent="0.2">
      <c r="B603" s="497"/>
      <c r="C603" s="498"/>
      <c r="D603" s="558"/>
      <c r="E603" s="558"/>
      <c r="F603" s="558"/>
      <c r="G603" s="558"/>
      <c r="H603" s="558"/>
      <c r="I603" s="558"/>
      <c r="J603" s="558"/>
      <c r="K603" s="558"/>
      <c r="L603" s="101"/>
      <c r="M603" s="97"/>
    </row>
    <row r="604" spans="2:13" s="78" customFormat="1" ht="12" customHeight="1" x14ac:dyDescent="0.2">
      <c r="B604" s="497"/>
      <c r="C604" s="498"/>
      <c r="D604" s="558"/>
      <c r="E604" s="558"/>
      <c r="F604" s="558"/>
      <c r="G604" s="558"/>
      <c r="H604" s="558"/>
      <c r="I604" s="558"/>
      <c r="J604" s="558"/>
      <c r="K604" s="558"/>
      <c r="L604" s="101"/>
      <c r="M604" s="97"/>
    </row>
    <row r="605" spans="2:13" s="78" customFormat="1" ht="12" customHeight="1" x14ac:dyDescent="0.2">
      <c r="B605" s="497"/>
      <c r="C605" s="498"/>
      <c r="D605" s="558"/>
      <c r="E605" s="558"/>
      <c r="F605" s="558"/>
      <c r="G605" s="558"/>
      <c r="H605" s="558"/>
      <c r="I605" s="558"/>
      <c r="J605" s="558"/>
      <c r="K605" s="558"/>
      <c r="L605" s="101"/>
      <c r="M605" s="97"/>
    </row>
    <row r="606" spans="2:13" s="78" customFormat="1" ht="12" customHeight="1" x14ac:dyDescent="0.2">
      <c r="B606" s="497"/>
      <c r="C606" s="498"/>
      <c r="D606" s="558"/>
      <c r="E606" s="558"/>
      <c r="F606" s="558"/>
      <c r="G606" s="558"/>
      <c r="H606" s="558"/>
      <c r="I606" s="558"/>
      <c r="J606" s="558"/>
      <c r="K606" s="558"/>
      <c r="L606" s="101"/>
      <c r="M606" s="97"/>
    </row>
    <row r="607" spans="2:13" s="78" customFormat="1" ht="12" customHeight="1" x14ac:dyDescent="0.2">
      <c r="B607" s="497"/>
      <c r="C607" s="498"/>
      <c r="D607" s="558"/>
      <c r="E607" s="558"/>
      <c r="F607" s="558"/>
      <c r="G607" s="558"/>
      <c r="H607" s="558"/>
      <c r="I607" s="558"/>
      <c r="J607" s="558"/>
      <c r="K607" s="558"/>
      <c r="L607" s="101"/>
      <c r="M607" s="97"/>
    </row>
    <row r="608" spans="2:13" s="78" customFormat="1" ht="12" customHeight="1" x14ac:dyDescent="0.2">
      <c r="B608" s="497"/>
      <c r="C608" s="498"/>
      <c r="D608" s="558"/>
      <c r="E608" s="558"/>
      <c r="F608" s="558"/>
      <c r="G608" s="558"/>
      <c r="H608" s="558"/>
      <c r="I608" s="558"/>
      <c r="J608" s="558"/>
      <c r="K608" s="558"/>
      <c r="L608" s="101"/>
      <c r="M608" s="97"/>
    </row>
    <row r="609" spans="2:13" s="78" customFormat="1" ht="12" customHeight="1" x14ac:dyDescent="0.2">
      <c r="B609" s="497"/>
      <c r="C609" s="498"/>
      <c r="D609" s="558"/>
      <c r="E609" s="558"/>
      <c r="F609" s="558"/>
      <c r="G609" s="558"/>
      <c r="H609" s="558"/>
      <c r="I609" s="558"/>
      <c r="J609" s="558"/>
      <c r="K609" s="558"/>
      <c r="L609" s="101"/>
      <c r="M609" s="97"/>
    </row>
    <row r="610" spans="2:13" s="78" customFormat="1" ht="12" customHeight="1" x14ac:dyDescent="0.2">
      <c r="B610" s="497"/>
      <c r="C610" s="498"/>
      <c r="D610" s="558"/>
      <c r="E610" s="558"/>
      <c r="F610" s="558"/>
      <c r="G610" s="558"/>
      <c r="H610" s="558"/>
      <c r="I610" s="558"/>
      <c r="J610" s="558"/>
      <c r="K610" s="558"/>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497" t="s">
        <v>422</v>
      </c>
      <c r="C612" s="498"/>
      <c r="D612" s="514"/>
      <c r="E612" s="514"/>
      <c r="F612" s="514"/>
      <c r="G612" s="514"/>
      <c r="H612" s="514"/>
      <c r="I612" s="514"/>
      <c r="J612" s="514"/>
      <c r="K612" s="514"/>
      <c r="L612" s="101"/>
      <c r="M612" s="97"/>
    </row>
    <row r="613" spans="2:13" s="78" customFormat="1" ht="12" customHeight="1" x14ac:dyDescent="0.2">
      <c r="B613" s="497"/>
      <c r="C613" s="498"/>
      <c r="D613" s="514"/>
      <c r="E613" s="514"/>
      <c r="F613" s="514"/>
      <c r="G613" s="514"/>
      <c r="H613" s="514"/>
      <c r="I613" s="514"/>
      <c r="J613" s="514"/>
      <c r="K613" s="514"/>
      <c r="L613" s="101"/>
      <c r="M613" s="97"/>
    </row>
    <row r="614" spans="2:13" s="78" customFormat="1" ht="12" customHeight="1" x14ac:dyDescent="0.2">
      <c r="B614" s="497"/>
      <c r="C614" s="498"/>
      <c r="D614" s="514"/>
      <c r="E614" s="514"/>
      <c r="F614" s="514"/>
      <c r="G614" s="514"/>
      <c r="H614" s="514"/>
      <c r="I614" s="514"/>
      <c r="J614" s="514"/>
      <c r="K614" s="514"/>
      <c r="L614" s="101"/>
      <c r="M614" s="97"/>
    </row>
    <row r="615" spans="2:13" s="78" customFormat="1" ht="12" customHeight="1" x14ac:dyDescent="0.2">
      <c r="B615" s="497"/>
      <c r="C615" s="498"/>
      <c r="D615" s="514"/>
      <c r="E615" s="514"/>
      <c r="F615" s="514"/>
      <c r="G615" s="514"/>
      <c r="H615" s="514"/>
      <c r="I615" s="514"/>
      <c r="J615" s="514"/>
      <c r="K615" s="514"/>
      <c r="L615" s="101"/>
      <c r="M615" s="97"/>
    </row>
    <row r="616" spans="2:13" s="78" customFormat="1" ht="12" customHeight="1" x14ac:dyDescent="0.2">
      <c r="B616" s="497"/>
      <c r="C616" s="498"/>
      <c r="D616" s="514"/>
      <c r="E616" s="514"/>
      <c r="F616" s="514"/>
      <c r="G616" s="514"/>
      <c r="H616" s="514"/>
      <c r="I616" s="514"/>
      <c r="J616" s="514"/>
      <c r="K616" s="514"/>
      <c r="L616" s="101"/>
      <c r="M616" s="97"/>
    </row>
    <row r="617" spans="2:13" s="78" customFormat="1" ht="12" customHeight="1" x14ac:dyDescent="0.2">
      <c r="B617" s="497"/>
      <c r="C617" s="498"/>
      <c r="D617" s="514"/>
      <c r="E617" s="514"/>
      <c r="F617" s="514"/>
      <c r="G617" s="514"/>
      <c r="H617" s="514"/>
      <c r="I617" s="514"/>
      <c r="J617" s="514"/>
      <c r="K617" s="514"/>
      <c r="L617" s="101"/>
      <c r="M617" s="97"/>
    </row>
    <row r="618" spans="2:13" s="78" customFormat="1" ht="12" customHeight="1" x14ac:dyDescent="0.2">
      <c r="B618" s="497"/>
      <c r="C618" s="498"/>
      <c r="D618" s="514"/>
      <c r="E618" s="514"/>
      <c r="F618" s="514"/>
      <c r="G618" s="514"/>
      <c r="H618" s="514"/>
      <c r="I618" s="514"/>
      <c r="J618" s="514"/>
      <c r="K618" s="514"/>
      <c r="L618" s="101"/>
      <c r="M618" s="97"/>
    </row>
    <row r="619" spans="2:13" s="78" customFormat="1" ht="12" customHeight="1" x14ac:dyDescent="0.2">
      <c r="B619" s="497"/>
      <c r="C619" s="498"/>
      <c r="D619" s="514"/>
      <c r="E619" s="514"/>
      <c r="F619" s="514"/>
      <c r="G619" s="514"/>
      <c r="H619" s="514"/>
      <c r="I619" s="514"/>
      <c r="J619" s="514"/>
      <c r="K619" s="514"/>
      <c r="L619" s="101"/>
      <c r="M619" s="97"/>
    </row>
    <row r="620" spans="2:13" s="78" customFormat="1" ht="12" customHeight="1" x14ac:dyDescent="0.2">
      <c r="B620" s="497"/>
      <c r="C620" s="498"/>
      <c r="D620" s="514"/>
      <c r="E620" s="514"/>
      <c r="F620" s="514"/>
      <c r="G620" s="514"/>
      <c r="H620" s="514"/>
      <c r="I620" s="514"/>
      <c r="J620" s="514"/>
      <c r="K620" s="514"/>
      <c r="L620" s="101"/>
      <c r="M620" s="97"/>
    </row>
    <row r="621" spans="2:13" s="78" customFormat="1" ht="12" customHeight="1" x14ac:dyDescent="0.2">
      <c r="B621" s="497"/>
      <c r="C621" s="498"/>
      <c r="D621" s="514"/>
      <c r="E621" s="514"/>
      <c r="F621" s="514"/>
      <c r="G621" s="514"/>
      <c r="H621" s="514"/>
      <c r="I621" s="514"/>
      <c r="J621" s="514"/>
      <c r="K621" s="514"/>
      <c r="L621" s="101"/>
      <c r="M621" s="97"/>
    </row>
    <row r="622" spans="2:13" s="78" customFormat="1" ht="12" customHeight="1" x14ac:dyDescent="0.2">
      <c r="B622" s="497"/>
      <c r="C622" s="498"/>
      <c r="D622" s="514"/>
      <c r="E622" s="514"/>
      <c r="F622" s="514"/>
      <c r="G622" s="514"/>
      <c r="H622" s="514"/>
      <c r="I622" s="514"/>
      <c r="J622" s="514"/>
      <c r="K622" s="514"/>
      <c r="L622" s="101"/>
      <c r="M622" s="97"/>
    </row>
    <row r="623" spans="2:13" s="78" customFormat="1" ht="12" customHeight="1" x14ac:dyDescent="0.2">
      <c r="B623" s="497"/>
      <c r="C623" s="498"/>
      <c r="D623" s="514"/>
      <c r="E623" s="514"/>
      <c r="F623" s="514"/>
      <c r="G623" s="514"/>
      <c r="H623" s="514"/>
      <c r="I623" s="514"/>
      <c r="J623" s="514"/>
      <c r="K623" s="514"/>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497" t="s">
        <v>423</v>
      </c>
      <c r="C625" s="498"/>
      <c r="D625" s="514"/>
      <c r="E625" s="514"/>
      <c r="F625" s="514"/>
      <c r="G625" s="514"/>
      <c r="H625" s="514"/>
      <c r="I625" s="514"/>
      <c r="J625" s="514"/>
      <c r="K625" s="514"/>
      <c r="L625" s="101"/>
      <c r="M625" s="97"/>
    </row>
    <row r="626" spans="2:13" s="78" customFormat="1" ht="12" customHeight="1" x14ac:dyDescent="0.2">
      <c r="B626" s="497"/>
      <c r="C626" s="498"/>
      <c r="D626" s="514"/>
      <c r="E626" s="514"/>
      <c r="F626" s="514"/>
      <c r="G626" s="514"/>
      <c r="H626" s="514"/>
      <c r="I626" s="514"/>
      <c r="J626" s="514"/>
      <c r="K626" s="514"/>
      <c r="L626" s="101"/>
      <c r="M626" s="97"/>
    </row>
    <row r="627" spans="2:13" s="78" customFormat="1" ht="12" customHeight="1" x14ac:dyDescent="0.2">
      <c r="B627" s="497"/>
      <c r="C627" s="498"/>
      <c r="D627" s="514"/>
      <c r="E627" s="514"/>
      <c r="F627" s="514"/>
      <c r="G627" s="514"/>
      <c r="H627" s="514"/>
      <c r="I627" s="514"/>
      <c r="J627" s="514"/>
      <c r="K627" s="514"/>
      <c r="L627" s="101"/>
      <c r="M627" s="97"/>
    </row>
    <row r="628" spans="2:13" s="78" customFormat="1" ht="12" customHeight="1" x14ac:dyDescent="0.2">
      <c r="B628" s="497"/>
      <c r="C628" s="498"/>
      <c r="D628" s="514"/>
      <c r="E628" s="514"/>
      <c r="F628" s="514"/>
      <c r="G628" s="514"/>
      <c r="H628" s="514"/>
      <c r="I628" s="514"/>
      <c r="J628" s="514"/>
      <c r="K628" s="514"/>
      <c r="L628" s="101"/>
      <c r="M628" s="97"/>
    </row>
    <row r="629" spans="2:13" s="78" customFormat="1" ht="12" customHeight="1" x14ac:dyDescent="0.2">
      <c r="B629" s="497"/>
      <c r="C629" s="498"/>
      <c r="D629" s="514"/>
      <c r="E629" s="514"/>
      <c r="F629" s="514"/>
      <c r="G629" s="514"/>
      <c r="H629" s="514"/>
      <c r="I629" s="514"/>
      <c r="J629" s="514"/>
      <c r="K629" s="514"/>
      <c r="L629" s="101"/>
      <c r="M629" s="97"/>
    </row>
    <row r="630" spans="2:13" s="78" customFormat="1" ht="12" customHeight="1" x14ac:dyDescent="0.2">
      <c r="B630" s="497"/>
      <c r="C630" s="498"/>
      <c r="D630" s="514"/>
      <c r="E630" s="514"/>
      <c r="F630" s="514"/>
      <c r="G630" s="514"/>
      <c r="H630" s="514"/>
      <c r="I630" s="514"/>
      <c r="J630" s="514"/>
      <c r="K630" s="514"/>
      <c r="L630" s="101"/>
      <c r="M630" s="97"/>
    </row>
    <row r="631" spans="2:13" s="78" customFormat="1" ht="12" customHeight="1" x14ac:dyDescent="0.2">
      <c r="B631" s="497"/>
      <c r="C631" s="498"/>
      <c r="D631" s="514"/>
      <c r="E631" s="514"/>
      <c r="F631" s="514"/>
      <c r="G631" s="514"/>
      <c r="H631" s="514"/>
      <c r="I631" s="514"/>
      <c r="J631" s="514"/>
      <c r="K631" s="514"/>
      <c r="L631" s="101"/>
      <c r="M631" s="97"/>
    </row>
    <row r="632" spans="2:13" s="78" customFormat="1" ht="12" customHeight="1" x14ac:dyDescent="0.2">
      <c r="B632" s="497"/>
      <c r="C632" s="498"/>
      <c r="D632" s="514"/>
      <c r="E632" s="514"/>
      <c r="F632" s="514"/>
      <c r="G632" s="514"/>
      <c r="H632" s="514"/>
      <c r="I632" s="514"/>
      <c r="J632" s="514"/>
      <c r="K632" s="514"/>
      <c r="L632" s="101"/>
      <c r="M632" s="97"/>
    </row>
    <row r="633" spans="2:13" s="78" customFormat="1" ht="12" customHeight="1" x14ac:dyDescent="0.2">
      <c r="B633" s="497"/>
      <c r="C633" s="498"/>
      <c r="D633" s="514"/>
      <c r="E633" s="514"/>
      <c r="F633" s="514"/>
      <c r="G633" s="514"/>
      <c r="H633" s="514"/>
      <c r="I633" s="514"/>
      <c r="J633" s="514"/>
      <c r="K633" s="514"/>
      <c r="L633" s="101"/>
      <c r="M633" s="97"/>
    </row>
    <row r="634" spans="2:13" s="78" customFormat="1" ht="12" customHeight="1" x14ac:dyDescent="0.2">
      <c r="B634" s="497"/>
      <c r="C634" s="498"/>
      <c r="D634" s="514"/>
      <c r="E634" s="514"/>
      <c r="F634" s="514"/>
      <c r="G634" s="514"/>
      <c r="H634" s="514"/>
      <c r="I634" s="514"/>
      <c r="J634" s="514"/>
      <c r="K634" s="514"/>
      <c r="L634" s="101"/>
      <c r="M634" s="97"/>
    </row>
    <row r="635" spans="2:13" s="78" customFormat="1" ht="12" customHeight="1" x14ac:dyDescent="0.2">
      <c r="B635" s="497"/>
      <c r="C635" s="498"/>
      <c r="D635" s="514"/>
      <c r="E635" s="514"/>
      <c r="F635" s="514"/>
      <c r="G635" s="514"/>
      <c r="H635" s="514"/>
      <c r="I635" s="514"/>
      <c r="J635" s="514"/>
      <c r="K635" s="514"/>
      <c r="L635" s="101"/>
      <c r="M635" s="97"/>
    </row>
    <row r="636" spans="2:13" s="78" customFormat="1" ht="12" customHeight="1" x14ac:dyDescent="0.2">
      <c r="B636" s="497"/>
      <c r="C636" s="498"/>
      <c r="D636" s="514"/>
      <c r="E636" s="514"/>
      <c r="F636" s="514"/>
      <c r="G636" s="514"/>
      <c r="H636" s="514"/>
      <c r="I636" s="514"/>
      <c r="J636" s="514"/>
      <c r="K636" s="514"/>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customHeight="1" x14ac:dyDescent="0.2">
      <c r="B638" s="497" t="s">
        <v>424</v>
      </c>
      <c r="C638" s="498"/>
      <c r="D638" s="514"/>
      <c r="E638" s="514"/>
      <c r="F638" s="514"/>
      <c r="G638" s="514"/>
      <c r="H638" s="514"/>
      <c r="I638" s="514"/>
      <c r="J638" s="514"/>
      <c r="K638" s="514"/>
      <c r="L638" s="101"/>
      <c r="M638" s="97"/>
    </row>
    <row r="639" spans="2:13" s="78" customFormat="1" ht="12" customHeight="1" x14ac:dyDescent="0.2">
      <c r="B639" s="497"/>
      <c r="C639" s="498"/>
      <c r="D639" s="514"/>
      <c r="E639" s="514"/>
      <c r="F639" s="514"/>
      <c r="G639" s="514"/>
      <c r="H639" s="514"/>
      <c r="I639" s="514"/>
      <c r="J639" s="514"/>
      <c r="K639" s="514"/>
      <c r="L639" s="101"/>
      <c r="M639" s="97"/>
    </row>
    <row r="640" spans="2:13" s="78" customFormat="1" ht="12" customHeight="1" x14ac:dyDescent="0.2">
      <c r="B640" s="497"/>
      <c r="C640" s="498"/>
      <c r="D640" s="514"/>
      <c r="E640" s="514"/>
      <c r="F640" s="514"/>
      <c r="G640" s="514"/>
      <c r="H640" s="514"/>
      <c r="I640" s="514"/>
      <c r="J640" s="514"/>
      <c r="K640" s="514"/>
      <c r="L640" s="101"/>
      <c r="M640" s="97"/>
    </row>
    <row r="641" spans="2:13" s="78" customFormat="1" ht="12" customHeight="1" x14ac:dyDescent="0.2">
      <c r="B641" s="497"/>
      <c r="C641" s="498"/>
      <c r="D641" s="514"/>
      <c r="E641" s="514"/>
      <c r="F641" s="514"/>
      <c r="G641" s="514"/>
      <c r="H641" s="514"/>
      <c r="I641" s="514"/>
      <c r="J641" s="514"/>
      <c r="K641" s="514"/>
      <c r="L641" s="101"/>
      <c r="M641" s="97"/>
    </row>
    <row r="642" spans="2:13" s="78" customFormat="1" ht="12" customHeight="1" x14ac:dyDescent="0.2">
      <c r="B642" s="497"/>
      <c r="C642" s="498"/>
      <c r="D642" s="514"/>
      <c r="E642" s="514"/>
      <c r="F642" s="514"/>
      <c r="G642" s="514"/>
      <c r="H642" s="514"/>
      <c r="I642" s="514"/>
      <c r="J642" s="514"/>
      <c r="K642" s="514"/>
      <c r="L642" s="101"/>
      <c r="M642" s="97"/>
    </row>
    <row r="643" spans="2:13" s="78" customFormat="1" ht="12" customHeight="1" x14ac:dyDescent="0.2">
      <c r="B643" s="497"/>
      <c r="C643" s="498"/>
      <c r="D643" s="514"/>
      <c r="E643" s="514"/>
      <c r="F643" s="514"/>
      <c r="G643" s="514"/>
      <c r="H643" s="514"/>
      <c r="I643" s="514"/>
      <c r="J643" s="514"/>
      <c r="K643" s="514"/>
      <c r="L643" s="101"/>
      <c r="M643" s="97"/>
    </row>
    <row r="644" spans="2:13" s="78" customFormat="1" ht="12" customHeight="1" x14ac:dyDescent="0.2">
      <c r="B644" s="497"/>
      <c r="C644" s="498"/>
      <c r="D644" s="514"/>
      <c r="E644" s="514"/>
      <c r="F644" s="514"/>
      <c r="G644" s="514"/>
      <c r="H644" s="514"/>
      <c r="I644" s="514"/>
      <c r="J644" s="514"/>
      <c r="K644" s="514"/>
      <c r="L644" s="101"/>
      <c r="M644" s="97"/>
    </row>
    <row r="645" spans="2:13" s="78" customFormat="1" ht="12" customHeight="1" x14ac:dyDescent="0.2">
      <c r="B645" s="497"/>
      <c r="C645" s="498"/>
      <c r="D645" s="514"/>
      <c r="E645" s="514"/>
      <c r="F645" s="514"/>
      <c r="G645" s="514"/>
      <c r="H645" s="514"/>
      <c r="I645" s="514"/>
      <c r="J645" s="514"/>
      <c r="K645" s="514"/>
      <c r="L645" s="101"/>
      <c r="M645" s="97"/>
    </row>
    <row r="646" spans="2:13" s="78" customFormat="1" ht="12" customHeight="1" x14ac:dyDescent="0.2">
      <c r="B646" s="497"/>
      <c r="C646" s="498"/>
      <c r="D646" s="514"/>
      <c r="E646" s="514"/>
      <c r="F646" s="514"/>
      <c r="G646" s="514"/>
      <c r="H646" s="514"/>
      <c r="I646" s="514"/>
      <c r="J646" s="514"/>
      <c r="K646" s="514"/>
      <c r="L646" s="101"/>
      <c r="M646" s="97"/>
    </row>
    <row r="647" spans="2:13" s="78" customFormat="1" ht="12" customHeight="1" x14ac:dyDescent="0.2">
      <c r="B647" s="497"/>
      <c r="C647" s="498"/>
      <c r="D647" s="514"/>
      <c r="E647" s="514"/>
      <c r="F647" s="514"/>
      <c r="G647" s="514"/>
      <c r="H647" s="514"/>
      <c r="I647" s="514"/>
      <c r="J647" s="514"/>
      <c r="K647" s="514"/>
      <c r="L647" s="101"/>
      <c r="M647" s="97"/>
    </row>
    <row r="648" spans="2:13" s="78" customFormat="1" ht="12" customHeight="1" x14ac:dyDescent="0.2">
      <c r="B648" s="497"/>
      <c r="C648" s="498"/>
      <c r="D648" s="514"/>
      <c r="E648" s="514"/>
      <c r="F648" s="514"/>
      <c r="G648" s="514"/>
      <c r="H648" s="514"/>
      <c r="I648" s="514"/>
      <c r="J648" s="514"/>
      <c r="K648" s="514"/>
      <c r="L648" s="101"/>
      <c r="M648" s="97"/>
    </row>
    <row r="649" spans="2:13" s="78" customFormat="1" ht="12" customHeight="1" x14ac:dyDescent="0.2">
      <c r="B649" s="497"/>
      <c r="C649" s="498"/>
      <c r="D649" s="514"/>
      <c r="E649" s="514"/>
      <c r="F649" s="514"/>
      <c r="G649" s="514"/>
      <c r="H649" s="514"/>
      <c r="I649" s="514"/>
      <c r="J649" s="514"/>
      <c r="K649" s="514"/>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1279</v>
      </c>
      <c r="C653" s="388"/>
      <c r="D653" s="388"/>
      <c r="E653" s="388"/>
      <c r="F653" s="388"/>
      <c r="G653" s="388"/>
      <c r="H653" s="388"/>
      <c r="I653" s="388"/>
      <c r="J653" s="388"/>
      <c r="K653" s="388"/>
      <c r="L653" s="389"/>
    </row>
    <row r="654" spans="2:13" s="97" customFormat="1" ht="12" customHeight="1" x14ac:dyDescent="0.2">
      <c r="B654" s="242" t="s">
        <v>1280</v>
      </c>
      <c r="L654" s="395"/>
    </row>
    <row r="655" spans="2:13" s="97" customFormat="1" ht="12" customHeight="1" x14ac:dyDescent="0.2">
      <c r="B655" s="102"/>
      <c r="L655" s="395"/>
    </row>
    <row r="656" spans="2:13" ht="18" customHeight="1" x14ac:dyDescent="0.2">
      <c r="B656" s="183" t="s">
        <v>1281</v>
      </c>
      <c r="C656" s="82"/>
      <c r="D656" s="83"/>
      <c r="E656" s="83"/>
      <c r="F656" s="83"/>
      <c r="G656" s="83"/>
      <c r="H656" s="83"/>
      <c r="I656" s="83"/>
      <c r="J656" s="83"/>
      <c r="K656" s="83"/>
      <c r="L656" s="6"/>
    </row>
    <row r="657" spans="2:13" ht="18" customHeight="1" x14ac:dyDescent="0.2">
      <c r="B657" s="258" t="s">
        <v>1282</v>
      </c>
      <c r="C657" s="82"/>
      <c r="D657" s="83"/>
      <c r="E657" s="83"/>
      <c r="F657" s="83"/>
      <c r="G657" s="83"/>
      <c r="H657" s="83"/>
      <c r="I657" s="83"/>
      <c r="J657" s="83"/>
      <c r="K657" s="83"/>
      <c r="L657" s="386"/>
    </row>
    <row r="658" spans="2:13" ht="4.5" customHeight="1" x14ac:dyDescent="0.2">
      <c r="B658" s="258"/>
      <c r="C658" s="82"/>
      <c r="D658" s="83"/>
      <c r="E658" s="83"/>
      <c r="F658" s="83"/>
      <c r="G658" s="83"/>
      <c r="H658" s="83"/>
      <c r="I658" s="83"/>
      <c r="J658" s="83"/>
      <c r="K658" s="83"/>
      <c r="L658" s="386"/>
    </row>
    <row r="659" spans="2:13" ht="36" customHeight="1" x14ac:dyDescent="0.2">
      <c r="B659" s="1"/>
      <c r="C659" s="82"/>
      <c r="D659" s="476" t="s">
        <v>1283</v>
      </c>
      <c r="E659" s="477"/>
      <c r="F659" s="477"/>
      <c r="G659" s="477"/>
      <c r="H659" s="478"/>
      <c r="I659" s="265"/>
      <c r="J659" s="83"/>
      <c r="K659" s="83"/>
      <c r="L659" s="6"/>
    </row>
    <row r="660" spans="2:13" ht="36" customHeight="1" x14ac:dyDescent="0.2">
      <c r="B660" s="1"/>
      <c r="C660" s="82"/>
      <c r="D660" s="476" t="s">
        <v>1284</v>
      </c>
      <c r="E660" s="477"/>
      <c r="F660" s="477"/>
      <c r="G660" s="477"/>
      <c r="H660" s="478"/>
      <c r="I660" s="265"/>
      <c r="J660" s="83"/>
      <c r="K660" s="83"/>
      <c r="L660" s="6"/>
    </row>
    <row r="661" spans="2:13" ht="36" customHeight="1" x14ac:dyDescent="0.2">
      <c r="B661" s="1"/>
      <c r="C661" s="82"/>
      <c r="D661" s="476" t="s">
        <v>1285</v>
      </c>
      <c r="E661" s="477"/>
      <c r="F661" s="477"/>
      <c r="G661" s="477"/>
      <c r="H661" s="478"/>
      <c r="I661" s="265"/>
      <c r="J661" s="83"/>
      <c r="K661" s="83"/>
      <c r="L661" s="6"/>
    </row>
    <row r="662" spans="2:13" ht="36" customHeight="1" x14ac:dyDescent="0.2">
      <c r="B662" s="1"/>
      <c r="C662" s="82"/>
      <c r="D662" s="476" t="s">
        <v>1286</v>
      </c>
      <c r="E662" s="477"/>
      <c r="F662" s="477"/>
      <c r="G662" s="477"/>
      <c r="H662" s="478"/>
      <c r="I662" s="265"/>
      <c r="J662" s="83"/>
      <c r="K662" s="83"/>
      <c r="L662" s="6"/>
    </row>
    <row r="663" spans="2:13" ht="36" customHeight="1" x14ac:dyDescent="0.2">
      <c r="B663" s="1"/>
      <c r="C663" s="82"/>
      <c r="D663" s="394" t="s">
        <v>37</v>
      </c>
      <c r="E663" s="465"/>
      <c r="F663" s="466"/>
      <c r="G663" s="466"/>
      <c r="H663" s="466"/>
      <c r="I663" s="467"/>
      <c r="J663" s="83"/>
      <c r="K663" s="83"/>
      <c r="L663" s="6"/>
    </row>
    <row r="664" spans="2:13" s="97" customFormat="1" ht="12" customHeight="1" x14ac:dyDescent="0.2">
      <c r="B664" s="102"/>
      <c r="M664" s="102"/>
    </row>
    <row r="665" spans="2:13" ht="18" customHeight="1" x14ac:dyDescent="0.2">
      <c r="B665" s="183" t="s">
        <v>1287</v>
      </c>
      <c r="C665" s="82"/>
      <c r="D665" s="83"/>
      <c r="E665" s="83"/>
      <c r="F665" s="83"/>
      <c r="G665" s="83"/>
      <c r="H665" s="83"/>
      <c r="I665" s="83"/>
      <c r="J665" s="83"/>
      <c r="K665" s="83"/>
      <c r="L665" s="6"/>
    </row>
    <row r="666" spans="2:13" ht="18" customHeight="1" x14ac:dyDescent="0.2">
      <c r="B666" s="258" t="s">
        <v>1282</v>
      </c>
      <c r="C666" s="82"/>
      <c r="D666" s="83"/>
      <c r="E666" s="83"/>
      <c r="F666" s="83"/>
      <c r="G666" s="83"/>
      <c r="H666" s="83"/>
      <c r="I666" s="83"/>
      <c r="J666" s="83"/>
      <c r="K666" s="83"/>
      <c r="L666" s="386"/>
    </row>
    <row r="667" spans="2:13" ht="4.5" customHeight="1" x14ac:dyDescent="0.2">
      <c r="B667" s="258"/>
      <c r="C667" s="82"/>
      <c r="D667" s="83"/>
      <c r="E667" s="83"/>
      <c r="F667" s="83"/>
      <c r="G667" s="83"/>
      <c r="H667" s="83"/>
      <c r="I667" s="83"/>
      <c r="J667" s="83"/>
      <c r="K667" s="83"/>
      <c r="L667" s="386"/>
    </row>
    <row r="668" spans="2:13" ht="36" customHeight="1" x14ac:dyDescent="0.2">
      <c r="B668" s="1"/>
      <c r="C668" s="82"/>
      <c r="D668" s="462" t="s">
        <v>1288</v>
      </c>
      <c r="E668" s="463"/>
      <c r="F668" s="463"/>
      <c r="G668" s="463"/>
      <c r="H668" s="464"/>
      <c r="I668" s="265"/>
      <c r="J668" s="83"/>
      <c r="K668" s="83"/>
      <c r="L668" s="6"/>
    </row>
    <row r="669" spans="2:13" ht="36" customHeight="1" x14ac:dyDescent="0.2">
      <c r="B669" s="1"/>
      <c r="C669" s="82"/>
      <c r="D669" s="462" t="s">
        <v>1289</v>
      </c>
      <c r="E669" s="463"/>
      <c r="F669" s="463"/>
      <c r="G669" s="463"/>
      <c r="H669" s="464"/>
      <c r="I669" s="265"/>
      <c r="J669" s="83"/>
      <c r="K669" s="83"/>
      <c r="L669" s="6"/>
    </row>
    <row r="670" spans="2:13" ht="36" customHeight="1" x14ac:dyDescent="0.2">
      <c r="B670" s="1"/>
      <c r="C670" s="82"/>
      <c r="D670" s="462" t="s">
        <v>1290</v>
      </c>
      <c r="E670" s="463"/>
      <c r="F670" s="463"/>
      <c r="G670" s="463"/>
      <c r="H670" s="464"/>
      <c r="I670" s="265"/>
      <c r="J670" s="83"/>
      <c r="K670" s="83"/>
      <c r="L670" s="6"/>
    </row>
    <row r="671" spans="2:13" ht="36" customHeight="1" x14ac:dyDescent="0.2">
      <c r="B671" s="1"/>
      <c r="C671" s="82"/>
      <c r="D671" s="462" t="s">
        <v>1291</v>
      </c>
      <c r="E671" s="463"/>
      <c r="F671" s="463"/>
      <c r="G671" s="463"/>
      <c r="H671" s="464"/>
      <c r="I671" s="265"/>
      <c r="J671" s="83"/>
      <c r="K671" s="83"/>
      <c r="L671" s="6"/>
    </row>
    <row r="672" spans="2:13" ht="36" customHeight="1" x14ac:dyDescent="0.2">
      <c r="B672" s="1"/>
      <c r="C672" s="82"/>
      <c r="D672" s="462" t="s">
        <v>1292</v>
      </c>
      <c r="E672" s="463"/>
      <c r="F672" s="463"/>
      <c r="G672" s="463"/>
      <c r="H672" s="464"/>
      <c r="I672" s="265"/>
      <c r="J672" s="83"/>
      <c r="K672" s="83"/>
      <c r="L672" s="6"/>
    </row>
    <row r="673" spans="2:14" ht="36" customHeight="1" x14ac:dyDescent="0.2">
      <c r="B673" s="1"/>
      <c r="C673" s="82"/>
      <c r="D673" s="462" t="s">
        <v>1293</v>
      </c>
      <c r="E673" s="463"/>
      <c r="F673" s="463"/>
      <c r="G673" s="463"/>
      <c r="H673" s="464"/>
      <c r="I673" s="265"/>
      <c r="J673" s="83"/>
      <c r="K673" s="83"/>
      <c r="L673" s="386"/>
    </row>
    <row r="674" spans="2:14" ht="36" customHeight="1" x14ac:dyDescent="0.2">
      <c r="B674" s="1"/>
      <c r="C674" s="82"/>
      <c r="D674" s="462" t="s">
        <v>1294</v>
      </c>
      <c r="E674" s="463"/>
      <c r="F674" s="463"/>
      <c r="G674" s="463"/>
      <c r="H674" s="464"/>
      <c r="I674" s="265"/>
      <c r="J674" s="83"/>
      <c r="K674" s="83"/>
      <c r="L674" s="386"/>
    </row>
    <row r="675" spans="2:14" ht="36" customHeight="1" x14ac:dyDescent="0.2">
      <c r="B675" s="1"/>
      <c r="C675" s="82"/>
      <c r="D675" s="394" t="s">
        <v>37</v>
      </c>
      <c r="E675" s="465"/>
      <c r="F675" s="466"/>
      <c r="G675" s="466"/>
      <c r="H675" s="466"/>
      <c r="I675" s="467"/>
      <c r="J675" s="83"/>
      <c r="K675" s="83"/>
      <c r="L675" s="6"/>
    </row>
    <row r="676" spans="2:14" s="97" customFormat="1" ht="12" customHeight="1" x14ac:dyDescent="0.2">
      <c r="B676" s="397"/>
      <c r="C676" s="396"/>
      <c r="D676" s="396"/>
      <c r="E676" s="396"/>
      <c r="F676" s="396"/>
      <c r="G676" s="396"/>
      <c r="H676" s="396"/>
      <c r="I676" s="396"/>
      <c r="J676" s="396"/>
      <c r="K676" s="396"/>
      <c r="L676" s="398"/>
    </row>
    <row r="677" spans="2:14" s="97" customFormat="1" ht="12" customHeight="1" x14ac:dyDescent="0.2"/>
    <row r="678" spans="2:14" s="4" customFormat="1" ht="18" customHeight="1" x14ac:dyDescent="0.2">
      <c r="B678" s="107" t="s">
        <v>956</v>
      </c>
      <c r="C678" s="107"/>
      <c r="D678" s="107"/>
      <c r="E678" s="107"/>
      <c r="F678" s="107"/>
      <c r="G678" s="107"/>
      <c r="H678" s="107"/>
      <c r="I678" s="107"/>
      <c r="J678" s="107"/>
      <c r="K678" s="107"/>
      <c r="L678" s="61"/>
    </row>
    <row r="679" spans="2:14" ht="18" customHeight="1" x14ac:dyDescent="0.2">
      <c r="B679" s="108" t="s">
        <v>22</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468" t="s">
        <v>1329</v>
      </c>
      <c r="D682" s="469"/>
      <c r="E682" s="470"/>
      <c r="F682" s="112" t="s">
        <v>23</v>
      </c>
      <c r="G682" s="112" t="s">
        <v>106</v>
      </c>
      <c r="H682" s="112" t="s">
        <v>107</v>
      </c>
      <c r="I682" s="112" t="s">
        <v>108</v>
      </c>
      <c r="J682" s="112" t="s">
        <v>109</v>
      </c>
      <c r="K682" s="112" t="s">
        <v>24</v>
      </c>
      <c r="L682" s="102"/>
      <c r="N682" s="438" t="str">
        <f>IF(COUNTIF(errors_results,TRUE)&gt;0,"List of Errors/Zoznam chýb","")</f>
        <v>List of Errors/Zoznam chýb</v>
      </c>
    </row>
    <row r="683" spans="2:14" s="78" customFormat="1" ht="24" customHeight="1" x14ac:dyDescent="0.2">
      <c r="B683" s="113" t="s">
        <v>101</v>
      </c>
      <c r="C683" s="471" t="s">
        <v>1375</v>
      </c>
      <c r="D683" s="472"/>
      <c r="E683" s="473"/>
      <c r="F683" s="228">
        <f>SUMIF(Implemented_By_Column,F682,Amount_Column)</f>
        <v>0</v>
      </c>
      <c r="G683" s="228">
        <f>SUMIF(Implemented_By_Column,G682,Amount_Column)</f>
        <v>0</v>
      </c>
      <c r="H683" s="228">
        <f>SUMIF(Implemented_By_Column,H682,Amount_Column)</f>
        <v>0</v>
      </c>
      <c r="I683" s="228">
        <f>SUMIF(Implemented_By_Column,I682,Amount_Column)</f>
        <v>0</v>
      </c>
      <c r="J683" s="228">
        <f>SUMIF(Implemented_By_Column,J682,Amount_Column)</f>
        <v>0</v>
      </c>
      <c r="K683" s="228">
        <f>SUM(F683:J683)</f>
        <v>0</v>
      </c>
      <c r="L683" s="102"/>
      <c r="N683" s="439" t="str">
        <f t="array" ref="N683">IFERROR(INDEX(errors_english_desc&amp;". / " &amp; errors_slovak_desc,SMALL(IF(errors_results=TRUE,ROW(errors_english_desc)-ROW($A$1)),ROWS($A$1:A1))),"")</f>
        <v/>
      </c>
    </row>
    <row r="684" spans="2:14" s="78" customFormat="1" ht="24" customHeight="1" x14ac:dyDescent="0.2">
      <c r="B684" s="113" t="s">
        <v>102</v>
      </c>
      <c r="C684" s="471" t="s">
        <v>878</v>
      </c>
      <c r="D684" s="472"/>
      <c r="E684" s="473"/>
      <c r="F684" s="339"/>
      <c r="G684" s="339"/>
      <c r="H684" s="339"/>
      <c r="I684" s="339"/>
      <c r="J684" s="339"/>
      <c r="K684" s="228">
        <f t="shared" ref="K684:K692" si="1">SUM(F684:J684)</f>
        <v>0</v>
      </c>
      <c r="L684" s="102"/>
      <c r="N684" s="439" t="str">
        <f t="array" ref="N684">IFERROR(INDEX(errors_english_desc&amp;". / " &amp; errors_slovak_desc,SMALL(IF(errors_results=TRUE,ROW(errors_english_desc)-ROW($A$1)),ROWS($A$1:A2))),"")</f>
        <v/>
      </c>
    </row>
    <row r="685" spans="2:14" s="78" customFormat="1" ht="24" customHeight="1" x14ac:dyDescent="0.2">
      <c r="B685" s="113"/>
      <c r="C685" s="471" t="s">
        <v>1035</v>
      </c>
      <c r="D685" s="472"/>
      <c r="E685" s="473"/>
      <c r="F685" s="338"/>
      <c r="G685" s="338"/>
      <c r="H685" s="338"/>
      <c r="I685" s="338"/>
      <c r="J685" s="338"/>
      <c r="K685" s="228"/>
      <c r="L685" s="102"/>
      <c r="N685" s="439" t="str">
        <f t="array" ref="N685">IFERROR(INDEX(errors_english_desc&amp;". / " &amp; errors_slovak_desc,SMALL(IF(errors_results=TRUE,ROW(errors_english_desc)-ROW($A$1)),ROWS($A$1:A3))),"")</f>
        <v/>
      </c>
    </row>
    <row r="686" spans="2:14" s="78" customFormat="1" ht="24" customHeight="1" x14ac:dyDescent="0.2">
      <c r="B686" s="113" t="s">
        <v>103</v>
      </c>
      <c r="C686" s="471" t="s">
        <v>879</v>
      </c>
      <c r="D686" s="472"/>
      <c r="E686" s="473"/>
      <c r="F686" s="339"/>
      <c r="G686" s="339"/>
      <c r="H686" s="339"/>
      <c r="I686" s="339"/>
      <c r="J686" s="339"/>
      <c r="K686" s="228">
        <f t="shared" si="1"/>
        <v>0</v>
      </c>
      <c r="L686" s="102"/>
      <c r="N686" s="439" t="str">
        <f t="array" ref="N686">IFERROR(INDEX(errors_english_desc&amp;". / " &amp; errors_slovak_desc,SMALL(IF(errors_results=TRUE,ROW(errors_english_desc)-ROW($A$1)),ROWS($A$1:A4))),"")</f>
        <v/>
      </c>
    </row>
    <row r="687" spans="2:14" s="78" customFormat="1" ht="24" customHeight="1" x14ac:dyDescent="0.2">
      <c r="B687" s="113" t="s">
        <v>104</v>
      </c>
      <c r="C687" s="471" t="s">
        <v>877</v>
      </c>
      <c r="D687" s="472"/>
      <c r="E687" s="473"/>
      <c r="F687" s="447"/>
      <c r="G687" s="447"/>
      <c r="H687" s="447"/>
      <c r="I687" s="447"/>
      <c r="J687" s="447"/>
      <c r="K687" s="228">
        <f t="shared" si="1"/>
        <v>0</v>
      </c>
      <c r="L687" s="102"/>
      <c r="N687" s="439" t="str">
        <f t="array" ref="N687">IFERROR(INDEX(errors_english_desc&amp;". / " &amp; errors_slovak_desc,SMALL(IF(errors_results=TRUE,ROW(errors_english_desc)-ROW($A$1)),ROWS($A$1:A5))),"")</f>
        <v/>
      </c>
    </row>
    <row r="688" spans="2:14" s="78" customFormat="1" ht="24" customHeight="1" x14ac:dyDescent="0.2">
      <c r="B688" s="113" t="s">
        <v>105</v>
      </c>
      <c r="C688" s="471" t="s">
        <v>880</v>
      </c>
      <c r="D688" s="472"/>
      <c r="E688" s="473"/>
      <c r="F688" s="339"/>
      <c r="G688" s="339"/>
      <c r="H688" s="339"/>
      <c r="I688" s="339"/>
      <c r="J688" s="339"/>
      <c r="K688" s="228">
        <f t="shared" si="1"/>
        <v>0</v>
      </c>
      <c r="L688" s="102"/>
      <c r="N688" s="439" t="str">
        <f t="array" ref="N688">IFERROR(INDEX(errors_english_desc&amp;". / " &amp; errors_slovak_desc,SMALL(IF(errors_results=TRUE,ROW(errors_english_desc)-ROW($A$1)),ROWS($A$1:A6))),"")</f>
        <v/>
      </c>
    </row>
    <row r="689" spans="2:17" s="78" customFormat="1" ht="24" customHeight="1" x14ac:dyDescent="0.2">
      <c r="B689" s="113" t="s">
        <v>0</v>
      </c>
      <c r="C689" s="471" t="s">
        <v>1296</v>
      </c>
      <c r="D689" s="472"/>
      <c r="E689" s="473"/>
      <c r="F689" s="339"/>
      <c r="G689" s="339"/>
      <c r="H689" s="339"/>
      <c r="I689" s="339"/>
      <c r="J689" s="339"/>
      <c r="K689" s="228">
        <f>SUM(F689:J689)</f>
        <v>0</v>
      </c>
      <c r="L689" s="102"/>
      <c r="N689" s="439" t="str">
        <f t="array" ref="N689">IFERROR(INDEX(errors_english_desc&amp;". / " &amp; errors_slovak_desc,SMALL(IF(errors_results=TRUE,ROW(errors_english_desc)-ROW($A$1)),ROWS($A$1:A7))),"")</f>
        <v/>
      </c>
      <c r="O689" s="409"/>
      <c r="P689" s="408"/>
    </row>
    <row r="690" spans="2:17" s="78" customFormat="1" ht="24" customHeight="1" x14ac:dyDescent="0.2">
      <c r="B690" s="113" t="s">
        <v>1</v>
      </c>
      <c r="C690" s="471" t="s">
        <v>25</v>
      </c>
      <c r="D690" s="472"/>
      <c r="E690" s="473"/>
      <c r="F690" s="228">
        <f>F692-F688-F687</f>
        <v>0</v>
      </c>
      <c r="G690" s="228">
        <f>G692-G688-G687</f>
        <v>0</v>
      </c>
      <c r="H690" s="228">
        <f>H692-H688-H687</f>
        <v>0</v>
      </c>
      <c r="I690" s="228">
        <f>I692-I688-I687</f>
        <v>0</v>
      </c>
      <c r="J690" s="228">
        <f>J692-J688-J687</f>
        <v>0</v>
      </c>
      <c r="K690" s="228">
        <f t="shared" si="1"/>
        <v>0</v>
      </c>
      <c r="L690" s="102"/>
      <c r="N690" s="439" t="str">
        <f t="array" ref="N690">IFERROR(INDEX(errors_english_desc&amp;". / " &amp; errors_slovak_desc,SMALL(IF(errors_results=TRUE,ROW(errors_english_desc)-ROW($A$1)),ROWS($A$1:A8))),"")</f>
        <v/>
      </c>
      <c r="Q690" s="409"/>
    </row>
    <row r="691" spans="2:17" s="78" customFormat="1" ht="24" customHeight="1" x14ac:dyDescent="0.2">
      <c r="B691" s="113" t="s">
        <v>2</v>
      </c>
      <c r="C691" s="471" t="s">
        <v>1349</v>
      </c>
      <c r="D691" s="472"/>
      <c r="E691" s="473"/>
      <c r="F691" s="228">
        <f>SUM(F683:F686)</f>
        <v>0</v>
      </c>
      <c r="G691" s="228">
        <f>SUM(G683:G686)</f>
        <v>0</v>
      </c>
      <c r="H691" s="228">
        <f>SUM(H683:H686)</f>
        <v>0</v>
      </c>
      <c r="I691" s="228">
        <f>SUM(I683:I686)</f>
        <v>0</v>
      </c>
      <c r="J691" s="228">
        <f>SUM(J683:J686)</f>
        <v>0</v>
      </c>
      <c r="K691" s="228">
        <f>SUM(F691:J691)</f>
        <v>0</v>
      </c>
      <c r="L691" s="102"/>
      <c r="N691" s="439" t="str">
        <f t="array" ref="N691">IFERROR(INDEX(errors_english_desc&amp;". / " &amp; errors_slovak_desc,SMALL(IF(errors_results=TRUE,ROW(errors_english_desc)-ROW($A$1)),ROWS($A$1:A9))),"")</f>
        <v/>
      </c>
    </row>
    <row r="692" spans="2:17" s="78" customFormat="1" ht="24" customHeight="1" x14ac:dyDescent="0.2">
      <c r="B692" s="113" t="s">
        <v>884</v>
      </c>
      <c r="C692" s="471" t="s">
        <v>883</v>
      </c>
      <c r="D692" s="472"/>
      <c r="E692" s="473"/>
      <c r="F692" s="228">
        <f>F691+F687</f>
        <v>0</v>
      </c>
      <c r="G692" s="228">
        <f>G691+G687</f>
        <v>0</v>
      </c>
      <c r="H692" s="228">
        <f>H691+H687</f>
        <v>0</v>
      </c>
      <c r="I692" s="228">
        <f>I691+I687</f>
        <v>0</v>
      </c>
      <c r="J692" s="228">
        <f>J691+J687</f>
        <v>0</v>
      </c>
      <c r="K692" s="228">
        <f t="shared" si="1"/>
        <v>0</v>
      </c>
      <c r="L692" s="102"/>
      <c r="N692" s="439" t="str">
        <f t="array" ref="N692">IFERROR(INDEX(errors_english_desc&amp;". / " &amp; errors_slovak_desc,SMALL(IF(errors_results=TRUE,ROW(errors_english_desc)-ROW($A$1)),ROWS($A$1:A10))),"")</f>
        <v/>
      </c>
    </row>
    <row r="693" spans="2:17" s="78" customFormat="1" ht="24" customHeight="1" x14ac:dyDescent="0.2">
      <c r="B693" s="197" t="s">
        <v>885</v>
      </c>
      <c r="C693" s="245"/>
      <c r="D693" s="239"/>
      <c r="E693" s="239"/>
      <c r="F693" s="239"/>
      <c r="G693" s="197"/>
      <c r="H693" s="239"/>
      <c r="I693" s="239"/>
      <c r="J693" s="246" t="s">
        <v>881</v>
      </c>
      <c r="K693" s="229" t="e">
        <f>indirect_costs_total/SUMIF(Type_Of_Expenditures_Column,Lists!R2,Amount_Column)</f>
        <v>#DIV/0!</v>
      </c>
      <c r="L693" s="102"/>
      <c r="N693" s="114"/>
    </row>
    <row r="694" spans="2:17" s="78" customFormat="1" ht="24" customHeight="1" x14ac:dyDescent="0.2">
      <c r="B694" s="197" t="s">
        <v>886</v>
      </c>
      <c r="C694" s="245"/>
      <c r="D694" s="239"/>
      <c r="E694" s="239"/>
      <c r="F694" s="239"/>
      <c r="G694" s="197"/>
      <c r="H694" s="239"/>
      <c r="I694" s="239"/>
      <c r="J694" s="246" t="s">
        <v>882</v>
      </c>
      <c r="K694" s="229" t="e">
        <f>ROUND(K690/K692,4)</f>
        <v>#DIV/0!</v>
      </c>
      <c r="L694" s="102"/>
      <c r="N694" s="114"/>
    </row>
    <row r="695" spans="2:17" s="78" customFormat="1" ht="24" customHeight="1" x14ac:dyDescent="0.2">
      <c r="B695" s="197" t="s">
        <v>887</v>
      </c>
      <c r="C695" s="245"/>
      <c r="D695" s="239"/>
      <c r="E695" s="239"/>
      <c r="F695" s="239"/>
      <c r="G695" s="197"/>
      <c r="H695" s="239"/>
      <c r="I695" s="239"/>
      <c r="J695" s="246" t="s">
        <v>889</v>
      </c>
      <c r="K695" s="247">
        <f>IF(ISERROR(VLOOKUP(sector_specified,grant_rates_table,2,FALSE)),0.8,(VLOOKUP(sector_specified,grant_rates_table,2,FALSE)))</f>
        <v>0.8</v>
      </c>
      <c r="L695" s="102"/>
      <c r="N695" s="408"/>
      <c r="O695" s="248"/>
    </row>
    <row r="696" spans="2:17" s="78" customFormat="1" ht="24" customHeight="1" x14ac:dyDescent="0.2">
      <c r="B696" s="197" t="s">
        <v>888</v>
      </c>
      <c r="C696" s="245"/>
      <c r="D696" s="239"/>
      <c r="E696" s="239"/>
      <c r="F696" s="239"/>
      <c r="G696" s="197"/>
      <c r="H696" s="239"/>
      <c r="I696" s="340"/>
      <c r="J696" s="246" t="s">
        <v>1039</v>
      </c>
      <c r="K696" s="228">
        <f>VLOOKUP(call_code,grants_requested_table,2,FALSE)</f>
        <v>200000</v>
      </c>
      <c r="L696" s="102"/>
      <c r="N696" s="439"/>
      <c r="O696" s="248"/>
    </row>
    <row r="697" spans="2:17" s="78" customFormat="1" ht="24" customHeight="1" x14ac:dyDescent="0.2">
      <c r="B697" s="197" t="s">
        <v>899</v>
      </c>
      <c r="C697" s="245"/>
      <c r="D697" s="239"/>
      <c r="E697" s="239"/>
      <c r="F697" s="239"/>
      <c r="G697" s="197"/>
      <c r="H697" s="239"/>
      <c r="I697" s="239"/>
      <c r="J697" s="246" t="s">
        <v>1297</v>
      </c>
      <c r="K697" s="228">
        <f>VLOOKUP(call_code,grants_requested_table,3,FALSE)</f>
        <v>600000</v>
      </c>
      <c r="L697" s="102"/>
      <c r="N697" s="244"/>
      <c r="O697" s="248"/>
    </row>
    <row r="698" spans="2:17" s="78" customFormat="1" ht="24" customHeight="1" x14ac:dyDescent="0.2">
      <c r="B698" s="197" t="s">
        <v>1040</v>
      </c>
      <c r="C698" s="245"/>
      <c r="D698" s="239"/>
      <c r="E698" s="239"/>
      <c r="F698" s="239"/>
      <c r="G698" s="197"/>
      <c r="H698" s="239"/>
      <c r="I698" s="239"/>
      <c r="J698" s="246" t="s">
        <v>1054</v>
      </c>
      <c r="K698" s="228">
        <f>ROUND(total_eligible_expenditure_total*0.05,0)</f>
        <v>0</v>
      </c>
      <c r="L698" s="102"/>
      <c r="N698" s="244"/>
      <c r="O698" s="248"/>
    </row>
    <row r="699" spans="2:17" s="78" customFormat="1" ht="24" customHeight="1" x14ac:dyDescent="0.2">
      <c r="B699" s="197" t="s">
        <v>1041</v>
      </c>
      <c r="C699" s="245"/>
      <c r="D699" s="239"/>
      <c r="E699" s="239"/>
      <c r="F699" s="239"/>
      <c r="G699" s="197"/>
      <c r="H699" s="239"/>
      <c r="I699" s="239"/>
      <c r="J699" s="410" t="s">
        <v>1306</v>
      </c>
      <c r="K699" s="440">
        <f>IF(AND(sector=nonprofit_sector_verification_title,sector_specified&lt;&gt;churches_verification_title),in_kind_call_limit,0)</f>
        <v>0</v>
      </c>
      <c r="L699" s="102"/>
      <c r="N699" s="244"/>
      <c r="O699" s="248"/>
    </row>
    <row r="700" spans="2:17" s="78" customFormat="1" ht="24" customHeight="1" x14ac:dyDescent="0.2">
      <c r="B700" s="197" t="s">
        <v>1053</v>
      </c>
      <c r="C700" s="245"/>
      <c r="D700" s="239"/>
      <c r="E700" s="239"/>
      <c r="F700" s="239"/>
      <c r="G700" s="197"/>
      <c r="H700" s="239"/>
      <c r="I700" s="239"/>
      <c r="J700" s="410" t="s">
        <v>1344</v>
      </c>
      <c r="K700" s="441">
        <f>ROUND((2*total_eligible_cash_expenditure_total*(1-maximum_grant_rate))/(1+maximum_grant_rate)*maximum_in_kind_percentage,0)</f>
        <v>0</v>
      </c>
      <c r="L700" s="102"/>
      <c r="N700" s="244"/>
      <c r="O700" s="248"/>
    </row>
    <row r="701" spans="2:17" s="78" customFormat="1" ht="24" customHeight="1" x14ac:dyDescent="0.2">
      <c r="B701" s="197" t="s">
        <v>1345</v>
      </c>
      <c r="C701" s="245"/>
      <c r="D701" s="239"/>
      <c r="E701" s="239"/>
      <c r="F701" s="239"/>
      <c r="G701" s="197"/>
      <c r="H701" s="239"/>
      <c r="I701" s="239"/>
      <c r="J701" s="410" t="s">
        <v>1307</v>
      </c>
      <c r="K701" s="440">
        <f>IFERROR(in_kind_total/(in_kind_total+cash_cofinancing_total),0)</f>
        <v>0</v>
      </c>
      <c r="L701" s="102"/>
      <c r="N701" s="244"/>
      <c r="O701" s="248"/>
    </row>
    <row r="702" spans="2:17" s="78" customFormat="1" ht="24" customHeight="1" x14ac:dyDescent="0.2">
      <c r="B702" s="197" t="s">
        <v>1346</v>
      </c>
      <c r="C702" s="245"/>
      <c r="D702" s="239"/>
      <c r="E702" s="239"/>
      <c r="F702" s="239"/>
      <c r="G702" s="197"/>
      <c r="H702" s="239"/>
      <c r="I702" s="239"/>
      <c r="J702" s="246" t="s">
        <v>1042</v>
      </c>
      <c r="K702" s="228">
        <f>ROUND(K690*0.85,0)</f>
        <v>0</v>
      </c>
      <c r="L702" s="102"/>
      <c r="N702" s="115"/>
    </row>
    <row r="703" spans="2:17" s="78" customFormat="1" ht="24" customHeight="1" x14ac:dyDescent="0.2">
      <c r="B703" s="197" t="s">
        <v>1347</v>
      </c>
      <c r="C703" s="245"/>
      <c r="D703" s="239"/>
      <c r="E703" s="239"/>
      <c r="F703" s="239"/>
      <c r="G703" s="197"/>
      <c r="H703" s="239"/>
      <c r="I703" s="239"/>
      <c r="J703" s="246" t="s">
        <v>464</v>
      </c>
      <c r="K703" s="228">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0"/>
      <c r="D705" s="249"/>
      <c r="E705" s="249"/>
      <c r="F705" s="249"/>
      <c r="G705" s="249"/>
      <c r="H705" s="249"/>
      <c r="I705" s="249"/>
      <c r="J705" s="249"/>
      <c r="K705" s="249"/>
      <c r="L705" s="61"/>
    </row>
    <row r="706" spans="2:14" ht="18" customHeight="1" x14ac:dyDescent="0.2">
      <c r="B706" s="108" t="s">
        <v>957</v>
      </c>
      <c r="C706" s="109"/>
      <c r="D706" s="109"/>
      <c r="E706" s="109"/>
      <c r="F706" s="109"/>
      <c r="G706" s="109"/>
      <c r="H706" s="109"/>
      <c r="I706" s="109"/>
      <c r="J706" s="109"/>
      <c r="K706" s="109"/>
      <c r="L706" s="110"/>
    </row>
    <row r="707" spans="2:14" s="78" customFormat="1" ht="24" customHeight="1" x14ac:dyDescent="0.2">
      <c r="B707" s="197"/>
      <c r="C707" s="245"/>
      <c r="D707" s="239"/>
      <c r="E707" s="239"/>
      <c r="F707" s="239"/>
      <c r="G707" s="197"/>
      <c r="H707" s="239"/>
      <c r="I707" s="239"/>
      <c r="J707" s="246"/>
      <c r="K707" s="271"/>
      <c r="L707" s="97"/>
      <c r="N707" s="115"/>
    </row>
    <row r="708" spans="2:14" customFormat="1" ht="24" customHeight="1" x14ac:dyDescent="0.2">
      <c r="B708" s="442" t="s">
        <v>1350</v>
      </c>
      <c r="C708" s="411" t="s">
        <v>1308</v>
      </c>
      <c r="D708" s="412"/>
      <c r="E708" s="412"/>
      <c r="F708" s="412"/>
      <c r="G708" s="412"/>
      <c r="H708" s="412"/>
      <c r="J708" s="677"/>
      <c r="K708" s="678"/>
    </row>
    <row r="709" spans="2:14" customFormat="1" ht="24" customHeight="1" x14ac:dyDescent="0.2">
      <c r="C709" s="399"/>
    </row>
    <row r="710" spans="2:14" s="78" customFormat="1" ht="47.25" customHeight="1" x14ac:dyDescent="0.2">
      <c r="B710" s="679" t="s">
        <v>1352</v>
      </c>
      <c r="C710" s="506" t="s">
        <v>1351</v>
      </c>
      <c r="D710" s="507"/>
      <c r="E710" s="507"/>
      <c r="F710" s="508"/>
      <c r="G710" s="457" t="s">
        <v>961</v>
      </c>
      <c r="H710" s="457" t="s">
        <v>962</v>
      </c>
      <c r="I710" s="457" t="s">
        <v>959</v>
      </c>
      <c r="J710" s="459" t="s">
        <v>1312</v>
      </c>
      <c r="K710" s="460"/>
      <c r="L710" s="461"/>
      <c r="N710" s="115"/>
    </row>
    <row r="711" spans="2:14" s="78" customFormat="1" ht="33" customHeight="1" x14ac:dyDescent="0.2">
      <c r="B711" s="680"/>
      <c r="C711" s="509"/>
      <c r="D711" s="510"/>
      <c r="E711" s="510"/>
      <c r="F711" s="511"/>
      <c r="G711" s="458"/>
      <c r="H711" s="458"/>
      <c r="I711" s="458"/>
      <c r="J711" s="413" t="s">
        <v>1309</v>
      </c>
      <c r="K711" s="414" t="s">
        <v>1310</v>
      </c>
      <c r="L711" s="414" t="s">
        <v>1313</v>
      </c>
      <c r="N711" s="115"/>
    </row>
    <row r="712" spans="2:14" s="78" customFormat="1" ht="24" customHeight="1" x14ac:dyDescent="0.2">
      <c r="B712" s="272">
        <v>1</v>
      </c>
      <c r="C712" s="670"/>
      <c r="D712" s="671"/>
      <c r="E712" s="671"/>
      <c r="F712" s="672"/>
      <c r="G712" s="417"/>
      <c r="H712" s="384"/>
      <c r="I712" s="384"/>
      <c r="J712" s="384"/>
      <c r="K712" s="416"/>
      <c r="L712" s="415" t="str">
        <f>duration_calculation</f>
        <v/>
      </c>
      <c r="N712" s="115"/>
    </row>
    <row r="713" spans="2:14" s="78" customFormat="1" ht="24" customHeight="1" x14ac:dyDescent="0.2">
      <c r="B713" s="272">
        <v>2</v>
      </c>
      <c r="C713" s="670"/>
      <c r="D713" s="671"/>
      <c r="E713" s="671"/>
      <c r="F713" s="672"/>
      <c r="G713" s="417"/>
      <c r="H713" s="384"/>
      <c r="I713" s="384"/>
      <c r="J713" s="384"/>
      <c r="K713" s="416"/>
      <c r="L713" s="415" t="str">
        <f>duration_calculation</f>
        <v/>
      </c>
      <c r="N713" s="115"/>
    </row>
    <row r="714" spans="2:14" s="78" customFormat="1" ht="24" customHeight="1" x14ac:dyDescent="0.2">
      <c r="B714" s="272">
        <v>3</v>
      </c>
      <c r="C714" s="670"/>
      <c r="D714" s="671"/>
      <c r="E714" s="671"/>
      <c r="F714" s="672"/>
      <c r="G714" s="417"/>
      <c r="H714" s="384"/>
      <c r="I714" s="384"/>
      <c r="J714" s="384"/>
      <c r="K714" s="416"/>
      <c r="L714" s="415" t="str">
        <f>duration_calculation</f>
        <v/>
      </c>
      <c r="N714" s="115"/>
    </row>
    <row r="715" spans="2:14" s="78" customFormat="1" ht="24" customHeight="1" x14ac:dyDescent="0.2">
      <c r="B715" s="272">
        <v>4</v>
      </c>
      <c r="C715" s="670"/>
      <c r="D715" s="671"/>
      <c r="E715" s="671"/>
      <c r="F715" s="672"/>
      <c r="G715" s="417"/>
      <c r="H715" s="384"/>
      <c r="I715" s="384"/>
      <c r="J715" s="384"/>
      <c r="K715" s="416"/>
      <c r="L715" s="415" t="str">
        <f>duration_calculation</f>
        <v/>
      </c>
      <c r="N715" s="115"/>
    </row>
    <row r="716" spans="2:14" s="78" customFormat="1" ht="24" customHeight="1" x14ac:dyDescent="0.2">
      <c r="B716" s="272">
        <v>5</v>
      </c>
      <c r="C716" s="670"/>
      <c r="D716" s="671"/>
      <c r="E716" s="671"/>
      <c r="F716" s="672"/>
      <c r="G716" s="417"/>
      <c r="H716" s="384"/>
      <c r="I716" s="384"/>
      <c r="J716" s="384"/>
      <c r="K716" s="416"/>
      <c r="L716" s="415" t="str">
        <f>duration_calculation</f>
        <v/>
      </c>
      <c r="N716" s="115"/>
    </row>
    <row r="717" spans="2:14" s="78" customFormat="1" ht="24" customHeight="1" x14ac:dyDescent="0.2">
      <c r="B717" s="272">
        <v>6</v>
      </c>
      <c r="C717" s="670"/>
      <c r="D717" s="671"/>
      <c r="E717" s="671"/>
      <c r="F717" s="672"/>
      <c r="G717" s="417"/>
      <c r="H717" s="384"/>
      <c r="I717" s="384"/>
      <c r="J717" s="384"/>
      <c r="K717" s="416"/>
      <c r="L717" s="415" t="str">
        <f>duration_calculation</f>
        <v/>
      </c>
      <c r="N717" s="115"/>
    </row>
    <row r="718" spans="2:14" s="78" customFormat="1" ht="24" customHeight="1" x14ac:dyDescent="0.2">
      <c r="B718" s="272">
        <v>7</v>
      </c>
      <c r="C718" s="670"/>
      <c r="D718" s="671"/>
      <c r="E718" s="671"/>
      <c r="F718" s="672"/>
      <c r="G718" s="417"/>
      <c r="H718" s="384"/>
      <c r="I718" s="384"/>
      <c r="J718" s="384"/>
      <c r="K718" s="416"/>
      <c r="L718" s="415" t="str">
        <f>duration_calculation</f>
        <v/>
      </c>
      <c r="N718" s="115"/>
    </row>
    <row r="719" spans="2:14" s="78" customFormat="1" ht="24" customHeight="1" x14ac:dyDescent="0.2">
      <c r="B719" s="272">
        <v>8</v>
      </c>
      <c r="C719" s="670"/>
      <c r="D719" s="671"/>
      <c r="E719" s="671"/>
      <c r="F719" s="672"/>
      <c r="G719" s="417"/>
      <c r="H719" s="384"/>
      <c r="I719" s="384"/>
      <c r="J719" s="384"/>
      <c r="K719" s="416"/>
      <c r="L719" s="415" t="str">
        <f>duration_calculation</f>
        <v/>
      </c>
      <c r="N719" s="115"/>
    </row>
    <row r="720" spans="2:14" s="78" customFormat="1" ht="24" customHeight="1" x14ac:dyDescent="0.2">
      <c r="B720" s="272">
        <v>9</v>
      </c>
      <c r="C720" s="670"/>
      <c r="D720" s="671"/>
      <c r="E720" s="671"/>
      <c r="F720" s="672"/>
      <c r="G720" s="417"/>
      <c r="H720" s="384"/>
      <c r="I720" s="384"/>
      <c r="J720" s="384"/>
      <c r="K720" s="416"/>
      <c r="L720" s="415" t="str">
        <f>duration_calculation</f>
        <v/>
      </c>
      <c r="N720" s="115"/>
    </row>
    <row r="721" spans="2:14" s="78" customFormat="1" ht="24" customHeight="1" x14ac:dyDescent="0.2">
      <c r="B721" s="272">
        <v>10</v>
      </c>
      <c r="C721" s="670"/>
      <c r="D721" s="671"/>
      <c r="E721" s="671"/>
      <c r="F721" s="672"/>
      <c r="G721" s="417"/>
      <c r="H721" s="384"/>
      <c r="I721" s="384"/>
      <c r="J721" s="384"/>
      <c r="K721" s="416"/>
      <c r="L721" s="415" t="str">
        <f>duration_calculation</f>
        <v/>
      </c>
      <c r="N721" s="115"/>
    </row>
    <row r="722" spans="2:14" s="78" customFormat="1" ht="24" customHeight="1" x14ac:dyDescent="0.2">
      <c r="B722" s="272">
        <v>11</v>
      </c>
      <c r="C722" s="670"/>
      <c r="D722" s="671"/>
      <c r="E722" s="671"/>
      <c r="F722" s="672"/>
      <c r="G722" s="417"/>
      <c r="H722" s="384"/>
      <c r="I722" s="384"/>
      <c r="J722" s="384"/>
      <c r="K722" s="416"/>
      <c r="L722" s="415" t="str">
        <f>duration_calculation</f>
        <v/>
      </c>
      <c r="N722" s="115"/>
    </row>
    <row r="723" spans="2:14" s="78" customFormat="1" ht="24" customHeight="1" x14ac:dyDescent="0.2">
      <c r="B723" s="272">
        <v>12</v>
      </c>
      <c r="C723" s="670"/>
      <c r="D723" s="671"/>
      <c r="E723" s="671"/>
      <c r="F723" s="672"/>
      <c r="G723" s="417"/>
      <c r="H723" s="384"/>
      <c r="I723" s="384"/>
      <c r="J723" s="384"/>
      <c r="K723" s="416"/>
      <c r="L723" s="415" t="str">
        <f>duration_calculation</f>
        <v/>
      </c>
      <c r="N723" s="115"/>
    </row>
    <row r="724" spans="2:14" s="78" customFormat="1" ht="24" customHeight="1" x14ac:dyDescent="0.2">
      <c r="B724" s="272">
        <v>13</v>
      </c>
      <c r="C724" s="670"/>
      <c r="D724" s="671"/>
      <c r="E724" s="671"/>
      <c r="F724" s="672"/>
      <c r="G724" s="417"/>
      <c r="H724" s="384"/>
      <c r="I724" s="384"/>
      <c r="J724" s="384"/>
      <c r="K724" s="416"/>
      <c r="L724" s="415" t="str">
        <f>duration_calculation</f>
        <v/>
      </c>
      <c r="N724" s="115"/>
    </row>
    <row r="725" spans="2:14" s="78" customFormat="1" ht="24" customHeight="1" x14ac:dyDescent="0.2">
      <c r="B725" s="272">
        <v>14</v>
      </c>
      <c r="C725" s="670"/>
      <c r="D725" s="671"/>
      <c r="E725" s="671"/>
      <c r="F725" s="672"/>
      <c r="G725" s="417"/>
      <c r="H725" s="384"/>
      <c r="I725" s="384"/>
      <c r="J725" s="384"/>
      <c r="K725" s="416"/>
      <c r="L725" s="415" t="str">
        <f>duration_calculation</f>
        <v/>
      </c>
      <c r="N725" s="115"/>
    </row>
    <row r="726" spans="2:14" s="78" customFormat="1" ht="24" customHeight="1" x14ac:dyDescent="0.2">
      <c r="B726" s="272">
        <v>15</v>
      </c>
      <c r="C726" s="670"/>
      <c r="D726" s="671"/>
      <c r="E726" s="671"/>
      <c r="F726" s="672"/>
      <c r="G726" s="417"/>
      <c r="H726" s="384"/>
      <c r="I726" s="384"/>
      <c r="J726" s="384"/>
      <c r="K726" s="416"/>
      <c r="L726" s="415" t="str">
        <f>duration_calculation</f>
        <v/>
      </c>
      <c r="N726" s="115"/>
    </row>
    <row r="727" spans="2:14" s="78" customFormat="1" ht="24" customHeight="1" x14ac:dyDescent="0.2">
      <c r="B727" s="272">
        <v>16</v>
      </c>
      <c r="C727" s="670"/>
      <c r="D727" s="671"/>
      <c r="E727" s="671"/>
      <c r="F727" s="672"/>
      <c r="G727" s="417"/>
      <c r="H727" s="384"/>
      <c r="I727" s="384"/>
      <c r="J727" s="384"/>
      <c r="K727" s="416"/>
      <c r="L727" s="415" t="str">
        <f>duration_calculation</f>
        <v/>
      </c>
      <c r="N727" s="115"/>
    </row>
    <row r="728" spans="2:14" s="78" customFormat="1" ht="24" customHeight="1" x14ac:dyDescent="0.2">
      <c r="B728" s="272">
        <v>17</v>
      </c>
      <c r="C728" s="670"/>
      <c r="D728" s="671"/>
      <c r="E728" s="671"/>
      <c r="F728" s="672"/>
      <c r="G728" s="417"/>
      <c r="H728" s="384"/>
      <c r="I728" s="384"/>
      <c r="J728" s="384"/>
      <c r="K728" s="416"/>
      <c r="L728" s="415" t="str">
        <f>duration_calculation</f>
        <v/>
      </c>
      <c r="N728" s="115"/>
    </row>
    <row r="729" spans="2:14" s="78" customFormat="1" ht="24" customHeight="1" x14ac:dyDescent="0.2">
      <c r="B729" s="272">
        <v>18</v>
      </c>
      <c r="C729" s="670"/>
      <c r="D729" s="671"/>
      <c r="E729" s="671"/>
      <c r="F729" s="672"/>
      <c r="G729" s="417"/>
      <c r="H729" s="384"/>
      <c r="I729" s="384"/>
      <c r="J729" s="384"/>
      <c r="K729" s="416"/>
      <c r="L729" s="415" t="str">
        <f>duration_calculation</f>
        <v/>
      </c>
      <c r="N729" s="115"/>
    </row>
    <row r="730" spans="2:14" s="78" customFormat="1" ht="24" customHeight="1" x14ac:dyDescent="0.2">
      <c r="B730" s="272">
        <v>19</v>
      </c>
      <c r="C730" s="670"/>
      <c r="D730" s="671"/>
      <c r="E730" s="671"/>
      <c r="F730" s="672"/>
      <c r="G730" s="417"/>
      <c r="H730" s="384"/>
      <c r="I730" s="384"/>
      <c r="J730" s="384"/>
      <c r="K730" s="416"/>
      <c r="L730" s="415" t="str">
        <f>duration_calculation</f>
        <v/>
      </c>
      <c r="N730" s="115"/>
    </row>
    <row r="731" spans="2:14" s="78" customFormat="1" ht="24" customHeight="1" x14ac:dyDescent="0.2">
      <c r="B731" s="272">
        <v>20</v>
      </c>
      <c r="C731" s="670"/>
      <c r="D731" s="671"/>
      <c r="E731" s="671"/>
      <c r="F731" s="672"/>
      <c r="G731" s="417"/>
      <c r="H731" s="384"/>
      <c r="I731" s="384"/>
      <c r="J731" s="384"/>
      <c r="K731" s="416"/>
      <c r="L731" s="415" t="str">
        <f>duration_calculation</f>
        <v/>
      </c>
      <c r="N731" s="115"/>
    </row>
    <row r="732" spans="2:14" s="78" customFormat="1" ht="24" customHeight="1" x14ac:dyDescent="0.2">
      <c r="B732" s="272">
        <v>21</v>
      </c>
      <c r="C732" s="670"/>
      <c r="D732" s="671"/>
      <c r="E732" s="671"/>
      <c r="F732" s="672"/>
      <c r="G732" s="417"/>
      <c r="H732" s="384"/>
      <c r="I732" s="384"/>
      <c r="J732" s="384"/>
      <c r="K732" s="416"/>
      <c r="L732" s="415" t="str">
        <f>duration_calculation</f>
        <v/>
      </c>
      <c r="N732" s="115"/>
    </row>
    <row r="733" spans="2:14" s="78" customFormat="1" ht="24" customHeight="1" x14ac:dyDescent="0.2">
      <c r="B733" s="272">
        <v>22</v>
      </c>
      <c r="C733" s="670"/>
      <c r="D733" s="671"/>
      <c r="E733" s="671"/>
      <c r="F733" s="672"/>
      <c r="G733" s="417"/>
      <c r="H733" s="384"/>
      <c r="I733" s="384"/>
      <c r="J733" s="384"/>
      <c r="K733" s="416"/>
      <c r="L733" s="415" t="str">
        <f>duration_calculation</f>
        <v/>
      </c>
      <c r="N733" s="115"/>
    </row>
    <row r="734" spans="2:14" s="78" customFormat="1" ht="24" customHeight="1" x14ac:dyDescent="0.2">
      <c r="B734" s="272">
        <v>23</v>
      </c>
      <c r="C734" s="670"/>
      <c r="D734" s="671"/>
      <c r="E734" s="671"/>
      <c r="F734" s="672"/>
      <c r="G734" s="417"/>
      <c r="H734" s="384"/>
      <c r="I734" s="384"/>
      <c r="J734" s="384"/>
      <c r="K734" s="416"/>
      <c r="L734" s="415" t="str">
        <f>duration_calculation</f>
        <v/>
      </c>
      <c r="N734" s="115"/>
    </row>
    <row r="735" spans="2:14" s="78" customFormat="1" ht="24" customHeight="1" x14ac:dyDescent="0.2">
      <c r="B735" s="272">
        <v>24</v>
      </c>
      <c r="C735" s="670"/>
      <c r="D735" s="671"/>
      <c r="E735" s="671"/>
      <c r="F735" s="672"/>
      <c r="G735" s="417"/>
      <c r="H735" s="384"/>
      <c r="I735" s="384"/>
      <c r="J735" s="384"/>
      <c r="K735" s="416"/>
      <c r="L735" s="415" t="str">
        <f>duration_calculation</f>
        <v/>
      </c>
      <c r="N735" s="115"/>
    </row>
    <row r="736" spans="2:14" s="78" customFormat="1" ht="24" customHeight="1" x14ac:dyDescent="0.2">
      <c r="B736" s="272">
        <v>25</v>
      </c>
      <c r="C736" s="670"/>
      <c r="D736" s="671"/>
      <c r="E736" s="671"/>
      <c r="F736" s="672"/>
      <c r="G736" s="417"/>
      <c r="H736" s="384"/>
      <c r="I736" s="384"/>
      <c r="J736" s="384"/>
      <c r="K736" s="416"/>
      <c r="L736" s="415" t="str">
        <f>duration_calculation</f>
        <v/>
      </c>
      <c r="N736" s="115"/>
    </row>
    <row r="737" spans="2:14" s="78" customFormat="1" ht="24" customHeight="1" x14ac:dyDescent="0.2">
      <c r="B737" s="272">
        <v>26</v>
      </c>
      <c r="C737" s="670"/>
      <c r="D737" s="671"/>
      <c r="E737" s="671"/>
      <c r="F737" s="672"/>
      <c r="G737" s="417"/>
      <c r="H737" s="384"/>
      <c r="I737" s="384"/>
      <c r="J737" s="384"/>
      <c r="K737" s="416"/>
      <c r="L737" s="415" t="str">
        <f>duration_calculation</f>
        <v/>
      </c>
      <c r="N737" s="115"/>
    </row>
    <row r="738" spans="2:14" s="78" customFormat="1" ht="24" customHeight="1" x14ac:dyDescent="0.2">
      <c r="B738" s="272">
        <v>27</v>
      </c>
      <c r="C738" s="670"/>
      <c r="D738" s="671"/>
      <c r="E738" s="671"/>
      <c r="F738" s="672"/>
      <c r="G738" s="417"/>
      <c r="H738" s="384"/>
      <c r="I738" s="384"/>
      <c r="J738" s="384"/>
      <c r="K738" s="416"/>
      <c r="L738" s="415" t="str">
        <f>duration_calculation</f>
        <v/>
      </c>
      <c r="N738" s="115"/>
    </row>
    <row r="739" spans="2:14" s="78" customFormat="1" ht="24" customHeight="1" x14ac:dyDescent="0.2">
      <c r="B739" s="272">
        <v>28</v>
      </c>
      <c r="C739" s="670"/>
      <c r="D739" s="671"/>
      <c r="E739" s="671"/>
      <c r="F739" s="672"/>
      <c r="G739" s="417"/>
      <c r="H739" s="384"/>
      <c r="I739" s="384"/>
      <c r="J739" s="384"/>
      <c r="K739" s="416"/>
      <c r="L739" s="415" t="str">
        <f>duration_calculation</f>
        <v/>
      </c>
      <c r="N739" s="115"/>
    </row>
    <row r="740" spans="2:14" s="78" customFormat="1" ht="24" customHeight="1" x14ac:dyDescent="0.2">
      <c r="B740" s="272">
        <v>29</v>
      </c>
      <c r="C740" s="670"/>
      <c r="D740" s="671"/>
      <c r="E740" s="671"/>
      <c r="F740" s="672"/>
      <c r="G740" s="417"/>
      <c r="H740" s="384"/>
      <c r="I740" s="384"/>
      <c r="J740" s="384"/>
      <c r="K740" s="416"/>
      <c r="L740" s="415" t="str">
        <f>duration_calculation</f>
        <v/>
      </c>
      <c r="N740" s="115"/>
    </row>
    <row r="741" spans="2:14" s="78" customFormat="1" ht="24" customHeight="1" x14ac:dyDescent="0.2">
      <c r="B741" s="272">
        <v>30</v>
      </c>
      <c r="C741" s="670"/>
      <c r="D741" s="671"/>
      <c r="E741" s="671"/>
      <c r="F741" s="672"/>
      <c r="G741" s="417"/>
      <c r="H741" s="384"/>
      <c r="I741" s="384"/>
      <c r="J741" s="384"/>
      <c r="K741" s="416"/>
      <c r="L741" s="415" t="str">
        <f>duration_calculation</f>
        <v/>
      </c>
      <c r="N741" s="115"/>
    </row>
    <row r="742" spans="2:14" s="78" customFormat="1" ht="24" customHeight="1" x14ac:dyDescent="0.2">
      <c r="B742" s="272">
        <v>31</v>
      </c>
      <c r="C742" s="670"/>
      <c r="D742" s="671"/>
      <c r="E742" s="671"/>
      <c r="F742" s="672"/>
      <c r="G742" s="417"/>
      <c r="H742" s="384"/>
      <c r="I742" s="384"/>
      <c r="J742" s="384"/>
      <c r="K742" s="416"/>
      <c r="L742" s="415" t="str">
        <f>duration_calculation</f>
        <v/>
      </c>
      <c r="N742" s="115"/>
    </row>
    <row r="743" spans="2:14" s="78" customFormat="1" ht="24" customHeight="1" x14ac:dyDescent="0.2">
      <c r="B743" s="272">
        <v>32</v>
      </c>
      <c r="C743" s="670"/>
      <c r="D743" s="671"/>
      <c r="E743" s="671"/>
      <c r="F743" s="672"/>
      <c r="G743" s="417"/>
      <c r="H743" s="384"/>
      <c r="I743" s="384"/>
      <c r="J743" s="384"/>
      <c r="K743" s="416"/>
      <c r="L743" s="415" t="str">
        <f>duration_calculation</f>
        <v/>
      </c>
      <c r="N743" s="115"/>
    </row>
    <row r="744" spans="2:14" s="78" customFormat="1" ht="24" customHeight="1" x14ac:dyDescent="0.2">
      <c r="B744" s="272">
        <v>33</v>
      </c>
      <c r="C744" s="670"/>
      <c r="D744" s="671"/>
      <c r="E744" s="671"/>
      <c r="F744" s="672"/>
      <c r="G744" s="417"/>
      <c r="H744" s="384"/>
      <c r="I744" s="384"/>
      <c r="J744" s="384"/>
      <c r="K744" s="416"/>
      <c r="L744" s="415" t="str">
        <f>duration_calculation</f>
        <v/>
      </c>
      <c r="N744" s="115"/>
    </row>
    <row r="745" spans="2:14" s="78" customFormat="1" ht="24" customHeight="1" x14ac:dyDescent="0.2">
      <c r="B745" s="272">
        <v>34</v>
      </c>
      <c r="C745" s="670"/>
      <c r="D745" s="671"/>
      <c r="E745" s="671"/>
      <c r="F745" s="672"/>
      <c r="G745" s="417"/>
      <c r="H745" s="384"/>
      <c r="I745" s="384"/>
      <c r="J745" s="384"/>
      <c r="K745" s="416"/>
      <c r="L745" s="415" t="str">
        <f>duration_calculation</f>
        <v/>
      </c>
      <c r="N745" s="115"/>
    </row>
    <row r="746" spans="2:14" s="78" customFormat="1" ht="24" customHeight="1" x14ac:dyDescent="0.2">
      <c r="B746" s="272">
        <v>35</v>
      </c>
      <c r="C746" s="670"/>
      <c r="D746" s="671"/>
      <c r="E746" s="671"/>
      <c r="F746" s="672"/>
      <c r="G746" s="417"/>
      <c r="H746" s="384"/>
      <c r="I746" s="384"/>
      <c r="J746" s="384"/>
      <c r="K746" s="416"/>
      <c r="L746" s="415" t="str">
        <f>duration_calculation</f>
        <v/>
      </c>
      <c r="N746" s="115"/>
    </row>
    <row r="747" spans="2:14" s="78" customFormat="1" ht="24" customHeight="1" x14ac:dyDescent="0.2">
      <c r="B747" s="272">
        <v>36</v>
      </c>
      <c r="C747" s="670"/>
      <c r="D747" s="671"/>
      <c r="E747" s="671"/>
      <c r="F747" s="672"/>
      <c r="G747" s="417"/>
      <c r="H747" s="384"/>
      <c r="I747" s="384"/>
      <c r="J747" s="384"/>
      <c r="K747" s="416"/>
      <c r="L747" s="415" t="str">
        <f>duration_calculation</f>
        <v/>
      </c>
      <c r="N747" s="115"/>
    </row>
    <row r="748" spans="2:14" s="78" customFormat="1" ht="24" customHeight="1" x14ac:dyDescent="0.2">
      <c r="B748" s="272">
        <v>37</v>
      </c>
      <c r="C748" s="670"/>
      <c r="D748" s="671"/>
      <c r="E748" s="671"/>
      <c r="F748" s="672"/>
      <c r="G748" s="417"/>
      <c r="H748" s="384"/>
      <c r="I748" s="384"/>
      <c r="J748" s="384"/>
      <c r="K748" s="416"/>
      <c r="L748" s="415" t="str">
        <f>duration_calculation</f>
        <v/>
      </c>
      <c r="N748" s="115"/>
    </row>
    <row r="749" spans="2:14" s="78" customFormat="1" ht="24" customHeight="1" x14ac:dyDescent="0.2">
      <c r="B749" s="272">
        <v>38</v>
      </c>
      <c r="C749" s="670"/>
      <c r="D749" s="671"/>
      <c r="E749" s="671"/>
      <c r="F749" s="672"/>
      <c r="G749" s="417"/>
      <c r="H749" s="384"/>
      <c r="I749" s="384"/>
      <c r="J749" s="384"/>
      <c r="K749" s="416"/>
      <c r="L749" s="415" t="str">
        <f>duration_calculation</f>
        <v/>
      </c>
      <c r="N749" s="115"/>
    </row>
    <row r="750" spans="2:14" s="78" customFormat="1" ht="24" customHeight="1" x14ac:dyDescent="0.2">
      <c r="B750" s="272">
        <v>39</v>
      </c>
      <c r="C750" s="670"/>
      <c r="D750" s="671"/>
      <c r="E750" s="671"/>
      <c r="F750" s="672"/>
      <c r="G750" s="417"/>
      <c r="H750" s="384"/>
      <c r="I750" s="384"/>
      <c r="J750" s="384"/>
      <c r="K750" s="416"/>
      <c r="L750" s="415" t="str">
        <f>duration_calculation</f>
        <v/>
      </c>
      <c r="N750" s="115"/>
    </row>
    <row r="751" spans="2:14" s="78" customFormat="1" ht="24" customHeight="1" x14ac:dyDescent="0.2">
      <c r="B751" s="272">
        <v>40</v>
      </c>
      <c r="C751" s="670"/>
      <c r="D751" s="671"/>
      <c r="E751" s="671"/>
      <c r="F751" s="672"/>
      <c r="G751" s="417"/>
      <c r="H751" s="384"/>
      <c r="I751" s="384"/>
      <c r="J751" s="384"/>
      <c r="K751" s="416"/>
      <c r="L751" s="415" t="str">
        <f>duration_calculation</f>
        <v/>
      </c>
      <c r="N751" s="115"/>
    </row>
    <row r="752" spans="2:14" customFormat="1" ht="24" customHeight="1" x14ac:dyDescent="0.2"/>
    <row r="753" spans="2:14" s="78" customFormat="1" ht="24" customHeight="1" x14ac:dyDescent="0.2">
      <c r="B753" s="197"/>
      <c r="C753" s="245"/>
      <c r="D753" s="239"/>
      <c r="E753" s="239"/>
      <c r="F753" s="239"/>
      <c r="G753" s="197"/>
      <c r="H753" s="239"/>
      <c r="I753" s="239"/>
      <c r="J753" s="246"/>
      <c r="K753" s="271"/>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0" t="s">
        <v>1044</v>
      </c>
      <c r="C755" s="250"/>
      <c r="D755" s="75"/>
      <c r="E755" s="75"/>
      <c r="F755" s="75"/>
      <c r="G755" s="75"/>
      <c r="H755" s="75"/>
      <c r="I755" s="75"/>
      <c r="J755" s="75"/>
      <c r="K755" s="75"/>
      <c r="L755" s="75"/>
    </row>
    <row r="756" spans="2:14" ht="18" customHeight="1" x14ac:dyDescent="0.2">
      <c r="B756" s="128" t="s">
        <v>28</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77"/>
      <c r="N757" s="119"/>
    </row>
    <row r="758" spans="2:14" ht="18" customHeight="1" x14ac:dyDescent="0.2">
      <c r="B758" s="131"/>
      <c r="C758" s="72"/>
      <c r="D758" s="132"/>
      <c r="E758" s="132"/>
      <c r="F758" s="132"/>
      <c r="G758" s="132"/>
      <c r="H758" s="132"/>
      <c r="I758" s="132"/>
      <c r="J758" s="132"/>
      <c r="K758" s="132"/>
      <c r="L758" s="177"/>
    </row>
    <row r="759" spans="2:14" ht="18" customHeight="1" x14ac:dyDescent="0.2">
      <c r="B759" s="131"/>
      <c r="C759" s="72"/>
      <c r="D759" s="132"/>
      <c r="E759" s="132"/>
      <c r="F759" s="132"/>
      <c r="G759" s="132"/>
      <c r="H759" s="132"/>
      <c r="I759" s="132"/>
      <c r="J759" s="132"/>
      <c r="K759" s="132"/>
      <c r="L759" s="177"/>
    </row>
    <row r="760" spans="2:14" ht="18" customHeight="1" x14ac:dyDescent="0.2">
      <c r="B760" s="131"/>
      <c r="C760" s="72"/>
      <c r="D760" s="132"/>
      <c r="E760" s="132"/>
      <c r="F760" s="132"/>
      <c r="G760" s="132"/>
      <c r="H760" s="132"/>
      <c r="I760" s="132"/>
      <c r="J760" s="132"/>
      <c r="K760" s="132"/>
      <c r="L760" s="177"/>
    </row>
    <row r="761" spans="2:14" ht="18" customHeight="1" x14ac:dyDescent="0.2">
      <c r="B761" s="131"/>
      <c r="C761" s="72"/>
      <c r="D761" s="132"/>
      <c r="E761" s="132"/>
      <c r="F761" s="132"/>
      <c r="G761" s="132"/>
      <c r="H761" s="132"/>
      <c r="I761" s="132"/>
      <c r="J761" s="132"/>
      <c r="K761" s="132"/>
      <c r="L761" s="177"/>
    </row>
    <row r="762" spans="2:14" ht="18" customHeight="1" x14ac:dyDescent="0.2">
      <c r="B762" s="131"/>
      <c r="C762" s="72"/>
      <c r="D762" s="132"/>
      <c r="E762" s="132"/>
      <c r="F762" s="132"/>
      <c r="G762" s="132"/>
      <c r="H762" s="132"/>
      <c r="I762" s="132"/>
      <c r="J762" s="132"/>
      <c r="K762" s="132"/>
      <c r="L762" s="177"/>
    </row>
    <row r="763" spans="2:14" ht="18" customHeight="1" x14ac:dyDescent="0.2">
      <c r="B763" s="131"/>
      <c r="C763" s="72"/>
      <c r="D763" s="132"/>
      <c r="E763" s="132"/>
      <c r="F763" s="132"/>
      <c r="G763" s="132"/>
      <c r="H763" s="132"/>
      <c r="I763" s="132"/>
      <c r="J763" s="132"/>
      <c r="K763" s="132"/>
      <c r="L763" s="177"/>
    </row>
    <row r="764" spans="2:14" ht="18" customHeight="1" x14ac:dyDescent="0.2">
      <c r="B764" s="131"/>
      <c r="C764" s="72"/>
      <c r="D764" s="132"/>
      <c r="E764" s="132"/>
      <c r="F764" s="132"/>
      <c r="G764" s="132"/>
      <c r="H764" s="132"/>
      <c r="I764" s="132"/>
      <c r="J764" s="132"/>
      <c r="K764" s="132"/>
      <c r="L764" s="177"/>
    </row>
    <row r="765" spans="2:14" ht="18" customHeight="1" x14ac:dyDescent="0.2">
      <c r="B765" s="131"/>
      <c r="C765" s="72"/>
      <c r="D765" s="132"/>
      <c r="E765" s="132"/>
      <c r="F765" s="132"/>
      <c r="G765" s="132"/>
      <c r="H765" s="132"/>
      <c r="I765" s="132"/>
      <c r="J765" s="132"/>
      <c r="K765" s="132"/>
      <c r="L765" s="177"/>
    </row>
    <row r="766" spans="2:14" ht="18" customHeight="1" x14ac:dyDescent="0.2">
      <c r="B766" s="131"/>
      <c r="C766" s="72"/>
      <c r="D766" s="132"/>
      <c r="E766" s="132"/>
      <c r="F766" s="132"/>
      <c r="G766" s="132"/>
      <c r="H766" s="132"/>
      <c r="I766" s="132"/>
      <c r="J766" s="132"/>
      <c r="K766" s="132"/>
      <c r="L766" s="177"/>
    </row>
    <row r="767" spans="2:14" ht="18" customHeight="1" x14ac:dyDescent="0.2">
      <c r="B767" s="131"/>
      <c r="C767" s="72"/>
      <c r="D767" s="132"/>
      <c r="E767" s="132"/>
      <c r="F767" s="132"/>
      <c r="G767" s="132"/>
      <c r="H767" s="132"/>
      <c r="I767" s="132"/>
      <c r="J767" s="132"/>
      <c r="K767" s="132"/>
      <c r="L767" s="177"/>
    </row>
    <row r="768" spans="2:14" ht="18" customHeight="1" x14ac:dyDescent="0.2">
      <c r="B768" s="131"/>
      <c r="C768" s="72"/>
      <c r="D768" s="132"/>
      <c r="E768" s="132"/>
      <c r="F768" s="132"/>
      <c r="G768" s="132"/>
      <c r="H768" s="132"/>
      <c r="I768" s="132"/>
      <c r="J768" s="132"/>
      <c r="K768" s="132"/>
      <c r="L768" s="177"/>
    </row>
    <row r="769" spans="2:14" ht="18" customHeight="1" x14ac:dyDescent="0.2">
      <c r="B769" s="131"/>
      <c r="C769" s="72"/>
      <c r="D769" s="132"/>
      <c r="E769" s="132"/>
      <c r="F769" s="132"/>
      <c r="G769" s="132"/>
      <c r="H769" s="132"/>
      <c r="I769" s="132"/>
      <c r="J769" s="132"/>
      <c r="K769" s="132"/>
      <c r="L769" s="177"/>
    </row>
    <row r="770" spans="2:14" ht="18" customHeight="1" x14ac:dyDescent="0.2">
      <c r="B770" s="172"/>
      <c r="C770" s="170"/>
      <c r="D770" s="173"/>
      <c r="E770" s="173"/>
      <c r="F770" s="173"/>
      <c r="G770" s="173"/>
      <c r="H770" s="173"/>
      <c r="I770" s="173"/>
      <c r="J770" s="173"/>
      <c r="K770" s="173"/>
      <c r="L770" s="174"/>
    </row>
    <row r="771" spans="2:14" ht="18" customHeight="1" x14ac:dyDescent="0.2">
      <c r="B771" s="128" t="s">
        <v>29</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77"/>
      <c r="N772" s="119"/>
    </row>
    <row r="773" spans="2:14" ht="18" customHeight="1" x14ac:dyDescent="0.2">
      <c r="B773" s="131"/>
      <c r="C773" s="72"/>
      <c r="D773" s="132"/>
      <c r="E773" s="132"/>
      <c r="F773" s="132"/>
      <c r="G773" s="132"/>
      <c r="H773" s="132"/>
      <c r="I773" s="132"/>
      <c r="J773" s="132"/>
      <c r="K773" s="132"/>
      <c r="L773" s="177"/>
    </row>
    <row r="774" spans="2:14" ht="18" customHeight="1" x14ac:dyDescent="0.2">
      <c r="B774" s="131"/>
      <c r="C774" s="72"/>
      <c r="D774" s="132"/>
      <c r="E774" s="132"/>
      <c r="F774" s="132"/>
      <c r="G774" s="132"/>
      <c r="H774" s="132"/>
      <c r="I774" s="132"/>
      <c r="J774" s="132"/>
      <c r="K774" s="132"/>
      <c r="L774" s="177"/>
    </row>
    <row r="775" spans="2:14" ht="18" customHeight="1" x14ac:dyDescent="0.2">
      <c r="B775" s="131"/>
      <c r="C775" s="72"/>
      <c r="D775" s="132"/>
      <c r="E775" s="132"/>
      <c r="F775" s="132"/>
      <c r="G775" s="132"/>
      <c r="H775" s="132"/>
      <c r="I775" s="132"/>
      <c r="J775" s="132"/>
      <c r="K775" s="132"/>
      <c r="L775" s="177"/>
    </row>
    <row r="776" spans="2:14" ht="18" customHeight="1" x14ac:dyDescent="0.2">
      <c r="B776" s="131"/>
      <c r="C776" s="72"/>
      <c r="D776" s="132"/>
      <c r="E776" s="132"/>
      <c r="F776" s="132"/>
      <c r="G776" s="132"/>
      <c r="H776" s="132"/>
      <c r="I776" s="132"/>
      <c r="J776" s="132"/>
      <c r="K776" s="132"/>
      <c r="L776" s="177"/>
    </row>
    <row r="777" spans="2:14" ht="18" customHeight="1" x14ac:dyDescent="0.2">
      <c r="B777" s="131"/>
      <c r="C777" s="72"/>
      <c r="D777" s="132"/>
      <c r="E777" s="132"/>
      <c r="F777" s="132"/>
      <c r="G777" s="132"/>
      <c r="H777" s="132"/>
      <c r="I777" s="132"/>
      <c r="J777" s="132"/>
      <c r="K777" s="132"/>
      <c r="L777" s="177"/>
    </row>
    <row r="778" spans="2:14" ht="18" customHeight="1" x14ac:dyDescent="0.2">
      <c r="B778" s="131"/>
      <c r="C778" s="72"/>
      <c r="D778" s="132"/>
      <c r="E778" s="132"/>
      <c r="F778" s="132"/>
      <c r="G778" s="132"/>
      <c r="H778" s="132"/>
      <c r="I778" s="132"/>
      <c r="J778" s="132"/>
      <c r="K778" s="132"/>
      <c r="L778" s="177"/>
    </row>
    <row r="779" spans="2:14" ht="18" customHeight="1" x14ac:dyDescent="0.2">
      <c r="B779" s="131"/>
      <c r="C779" s="72"/>
      <c r="D779" s="132"/>
      <c r="E779" s="132"/>
      <c r="F779" s="132"/>
      <c r="G779" s="132"/>
      <c r="H779" s="132"/>
      <c r="I779" s="132"/>
      <c r="J779" s="132"/>
      <c r="K779" s="132"/>
      <c r="L779" s="177"/>
    </row>
    <row r="780" spans="2:14" ht="18" customHeight="1" x14ac:dyDescent="0.2">
      <c r="B780" s="131"/>
      <c r="C780" s="72"/>
      <c r="D780" s="132"/>
      <c r="E780" s="132"/>
      <c r="F780" s="132"/>
      <c r="G780" s="132"/>
      <c r="H780" s="132"/>
      <c r="I780" s="132"/>
      <c r="J780" s="132"/>
      <c r="K780" s="132"/>
      <c r="L780" s="177"/>
    </row>
    <row r="781" spans="2:14" ht="18" customHeight="1" x14ac:dyDescent="0.2">
      <c r="B781" s="131"/>
      <c r="C781" s="72"/>
      <c r="D781" s="132"/>
      <c r="E781" s="132"/>
      <c r="F781" s="132"/>
      <c r="G781" s="132"/>
      <c r="H781" s="132"/>
      <c r="I781" s="132"/>
      <c r="J781" s="132"/>
      <c r="K781" s="132"/>
      <c r="L781" s="177"/>
    </row>
    <row r="782" spans="2:14" ht="18" customHeight="1" x14ac:dyDescent="0.2">
      <c r="B782" s="131"/>
      <c r="C782" s="72"/>
      <c r="D782" s="132"/>
      <c r="E782" s="132"/>
      <c r="F782" s="132"/>
      <c r="G782" s="132"/>
      <c r="H782" s="132"/>
      <c r="I782" s="132"/>
      <c r="J782" s="132"/>
      <c r="K782" s="132"/>
      <c r="L782" s="177"/>
    </row>
    <row r="783" spans="2:14" ht="18" customHeight="1" x14ac:dyDescent="0.2">
      <c r="B783" s="131"/>
      <c r="C783" s="72"/>
      <c r="D783" s="132"/>
      <c r="E783" s="132"/>
      <c r="F783" s="132"/>
      <c r="G783" s="132"/>
      <c r="H783" s="132"/>
      <c r="I783" s="132"/>
      <c r="J783" s="132"/>
      <c r="K783" s="132"/>
      <c r="L783" s="177"/>
    </row>
    <row r="784" spans="2:14" ht="18" customHeight="1" x14ac:dyDescent="0.2">
      <c r="B784" s="131"/>
      <c r="C784" s="72"/>
      <c r="D784" s="132"/>
      <c r="E784" s="132"/>
      <c r="F784" s="132"/>
      <c r="G784" s="132"/>
      <c r="H784" s="132"/>
      <c r="I784" s="132"/>
      <c r="J784" s="132"/>
      <c r="K784" s="132"/>
      <c r="L784" s="177"/>
    </row>
    <row r="785" spans="2:12" ht="18" customHeight="1" x14ac:dyDescent="0.2">
      <c r="B785" s="172"/>
      <c r="C785" s="170"/>
      <c r="D785" s="173"/>
      <c r="E785" s="173"/>
      <c r="F785" s="173"/>
      <c r="G785" s="173"/>
      <c r="H785" s="173"/>
      <c r="I785" s="173"/>
      <c r="J785" s="173"/>
      <c r="K785" s="173"/>
      <c r="L785" s="174"/>
    </row>
    <row r="786" spans="2:12" ht="18" customHeight="1" x14ac:dyDescent="0.2">
      <c r="B786" s="128" t="s">
        <v>30</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77"/>
    </row>
    <row r="788" spans="2:12" ht="18" customHeight="1" x14ac:dyDescent="0.2">
      <c r="B788" s="131"/>
      <c r="C788" s="72"/>
      <c r="D788" s="132"/>
      <c r="E788" s="132"/>
      <c r="F788" s="132"/>
      <c r="G788" s="132"/>
      <c r="H788" s="132"/>
      <c r="I788" s="132"/>
      <c r="J788" s="132"/>
      <c r="K788" s="132"/>
      <c r="L788" s="177"/>
    </row>
    <row r="789" spans="2:12" ht="18" customHeight="1" x14ac:dyDescent="0.2">
      <c r="B789" s="131"/>
      <c r="C789" s="72"/>
      <c r="D789" s="132"/>
      <c r="E789" s="132"/>
      <c r="F789" s="132"/>
      <c r="G789" s="132"/>
      <c r="H789" s="132"/>
      <c r="I789" s="132"/>
      <c r="J789" s="132"/>
      <c r="K789" s="132"/>
      <c r="L789" s="177"/>
    </row>
    <row r="790" spans="2:12" ht="18" customHeight="1" x14ac:dyDescent="0.2">
      <c r="B790" s="131"/>
      <c r="C790" s="72"/>
      <c r="D790" s="132"/>
      <c r="E790" s="132"/>
      <c r="F790" s="132"/>
      <c r="G790" s="132"/>
      <c r="H790" s="132"/>
      <c r="I790" s="132"/>
      <c r="J790" s="132"/>
      <c r="K790" s="132"/>
      <c r="L790" s="177"/>
    </row>
    <row r="791" spans="2:12" ht="18" customHeight="1" x14ac:dyDescent="0.2">
      <c r="B791" s="131"/>
      <c r="C791" s="72"/>
      <c r="D791" s="132"/>
      <c r="E791" s="132"/>
      <c r="F791" s="132"/>
      <c r="G791" s="132"/>
      <c r="H791" s="132"/>
      <c r="I791" s="132"/>
      <c r="J791" s="132"/>
      <c r="K791" s="132"/>
      <c r="L791" s="177"/>
    </row>
    <row r="792" spans="2:12" ht="18" customHeight="1" x14ac:dyDescent="0.2">
      <c r="B792" s="131"/>
      <c r="C792" s="72"/>
      <c r="D792" s="132"/>
      <c r="E792" s="132"/>
      <c r="F792" s="132"/>
      <c r="G792" s="132"/>
      <c r="H792" s="132"/>
      <c r="I792" s="132"/>
      <c r="J792" s="132"/>
      <c r="K792" s="132"/>
      <c r="L792" s="177"/>
    </row>
    <row r="793" spans="2:12" ht="18" customHeight="1" x14ac:dyDescent="0.2">
      <c r="B793" s="131"/>
      <c r="C793" s="72"/>
      <c r="D793" s="132"/>
      <c r="E793" s="132"/>
      <c r="F793" s="132"/>
      <c r="G793" s="132"/>
      <c r="H793" s="132"/>
      <c r="I793" s="132"/>
      <c r="J793" s="132"/>
      <c r="K793" s="132"/>
      <c r="L793" s="177"/>
    </row>
    <row r="794" spans="2:12" ht="18" customHeight="1" x14ac:dyDescent="0.2">
      <c r="B794" s="131"/>
      <c r="C794" s="72"/>
      <c r="D794" s="132"/>
      <c r="E794" s="132"/>
      <c r="F794" s="132"/>
      <c r="G794" s="132"/>
      <c r="H794" s="132"/>
      <c r="I794" s="132"/>
      <c r="J794" s="132"/>
      <c r="K794" s="132"/>
      <c r="L794" s="177"/>
    </row>
    <row r="795" spans="2:12" ht="18" customHeight="1" x14ac:dyDescent="0.2">
      <c r="B795" s="131"/>
      <c r="C795" s="72"/>
      <c r="D795" s="132"/>
      <c r="E795" s="132"/>
      <c r="F795" s="132"/>
      <c r="G795" s="132"/>
      <c r="H795" s="132"/>
      <c r="I795" s="132"/>
      <c r="J795" s="132"/>
      <c r="K795" s="132"/>
      <c r="L795" s="177"/>
    </row>
    <row r="796" spans="2:12" ht="18" customHeight="1" x14ac:dyDescent="0.2">
      <c r="B796" s="131"/>
      <c r="C796" s="72"/>
      <c r="D796" s="132"/>
      <c r="E796" s="132"/>
      <c r="F796" s="132"/>
      <c r="G796" s="132"/>
      <c r="H796" s="132"/>
      <c r="I796" s="132"/>
      <c r="J796" s="132"/>
      <c r="K796" s="132"/>
      <c r="L796" s="177"/>
    </row>
    <row r="797" spans="2:12" ht="18" customHeight="1" x14ac:dyDescent="0.2">
      <c r="B797" s="131"/>
      <c r="C797" s="72"/>
      <c r="D797" s="132"/>
      <c r="E797" s="132"/>
      <c r="F797" s="132"/>
      <c r="G797" s="132"/>
      <c r="H797" s="132"/>
      <c r="I797" s="132"/>
      <c r="J797" s="132"/>
      <c r="K797" s="132"/>
      <c r="L797" s="177"/>
    </row>
    <row r="798" spans="2:12" ht="18" customHeight="1" x14ac:dyDescent="0.2">
      <c r="B798" s="131"/>
      <c r="C798" s="72"/>
      <c r="D798" s="132"/>
      <c r="E798" s="132"/>
      <c r="F798" s="132"/>
      <c r="G798" s="132"/>
      <c r="H798" s="132"/>
      <c r="I798" s="132"/>
      <c r="J798" s="132"/>
      <c r="K798" s="132"/>
      <c r="L798" s="177"/>
    </row>
    <row r="799" spans="2:12" ht="18" customHeight="1" x14ac:dyDescent="0.2">
      <c r="B799" s="131"/>
      <c r="C799" s="72"/>
      <c r="D799" s="132"/>
      <c r="E799" s="132"/>
      <c r="F799" s="132"/>
      <c r="G799" s="132"/>
      <c r="H799" s="132"/>
      <c r="I799" s="132"/>
      <c r="J799" s="132"/>
      <c r="K799" s="132"/>
      <c r="L799" s="177"/>
    </row>
    <row r="800" spans="2:12" ht="18" customHeight="1" x14ac:dyDescent="0.2">
      <c r="B800" s="131"/>
      <c r="C800" s="72"/>
      <c r="D800" s="132"/>
      <c r="E800" s="132"/>
      <c r="F800" s="132"/>
      <c r="G800" s="132"/>
      <c r="H800" s="132"/>
      <c r="I800" s="132"/>
      <c r="J800" s="132"/>
      <c r="K800" s="132"/>
      <c r="L800" s="177"/>
    </row>
    <row r="801" spans="2:12" ht="18" customHeight="1" x14ac:dyDescent="0.2">
      <c r="B801" s="172"/>
      <c r="C801" s="170"/>
      <c r="D801" s="173"/>
      <c r="E801" s="173"/>
      <c r="F801" s="173"/>
      <c r="G801" s="173"/>
      <c r="H801" s="173"/>
      <c r="I801" s="173"/>
      <c r="J801" s="173"/>
      <c r="K801" s="173"/>
      <c r="L801" s="174"/>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976</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77"/>
    </row>
    <row r="805" spans="2:12" ht="18" customHeight="1" x14ac:dyDescent="0.2">
      <c r="B805" s="131"/>
      <c r="C805" s="72"/>
      <c r="D805" s="132"/>
      <c r="E805" s="132"/>
      <c r="F805" s="132"/>
      <c r="G805" s="132"/>
      <c r="H805" s="132"/>
      <c r="I805" s="132"/>
      <c r="J805" s="132"/>
      <c r="K805" s="132"/>
      <c r="L805" s="177"/>
    </row>
    <row r="806" spans="2:12" ht="18" customHeight="1" x14ac:dyDescent="0.2">
      <c r="B806" s="131"/>
      <c r="C806" s="72"/>
      <c r="D806" s="132"/>
      <c r="E806" s="132"/>
      <c r="F806" s="132"/>
      <c r="G806" s="132"/>
      <c r="H806" s="132"/>
      <c r="I806" s="132"/>
      <c r="J806" s="132"/>
      <c r="K806" s="132"/>
      <c r="L806" s="177"/>
    </row>
    <row r="807" spans="2:12" ht="18" customHeight="1" x14ac:dyDescent="0.2">
      <c r="B807" s="131"/>
      <c r="C807" s="72"/>
      <c r="D807" s="132"/>
      <c r="E807" s="132"/>
      <c r="F807" s="132"/>
      <c r="G807" s="132"/>
      <c r="H807" s="132"/>
      <c r="I807" s="132"/>
      <c r="J807" s="132"/>
      <c r="K807" s="132"/>
      <c r="L807" s="177"/>
    </row>
    <row r="808" spans="2:12" ht="18" customHeight="1" x14ac:dyDescent="0.2">
      <c r="B808" s="131"/>
      <c r="C808" s="72"/>
      <c r="D808" s="132"/>
      <c r="E808" s="132"/>
      <c r="F808" s="132"/>
      <c r="G808" s="132"/>
      <c r="H808" s="132"/>
      <c r="I808" s="132"/>
      <c r="J808" s="132"/>
      <c r="K808" s="132"/>
      <c r="L808" s="177"/>
    </row>
    <row r="809" spans="2:12" ht="18" customHeight="1" x14ac:dyDescent="0.2">
      <c r="B809" s="131"/>
      <c r="C809" s="72"/>
      <c r="D809" s="132"/>
      <c r="E809" s="132"/>
      <c r="F809" s="132"/>
      <c r="G809" s="132"/>
      <c r="H809" s="132"/>
      <c r="I809" s="132"/>
      <c r="J809" s="132"/>
      <c r="K809" s="132"/>
      <c r="L809" s="177"/>
    </row>
    <row r="810" spans="2:12" ht="18" customHeight="1" x14ac:dyDescent="0.2">
      <c r="B810" s="131"/>
      <c r="C810" s="72"/>
      <c r="D810" s="132"/>
      <c r="E810" s="132"/>
      <c r="F810" s="132"/>
      <c r="G810" s="132"/>
      <c r="H810" s="132"/>
      <c r="I810" s="132"/>
      <c r="J810" s="132"/>
      <c r="K810" s="132"/>
      <c r="L810" s="177"/>
    </row>
    <row r="811" spans="2:12" ht="18" customHeight="1" x14ac:dyDescent="0.2">
      <c r="B811" s="131"/>
      <c r="C811" s="72"/>
      <c r="D811" s="132"/>
      <c r="E811" s="132"/>
      <c r="F811" s="132"/>
      <c r="G811" s="132"/>
      <c r="H811" s="132"/>
      <c r="I811" s="132"/>
      <c r="J811" s="132"/>
      <c r="K811" s="132"/>
      <c r="L811" s="177"/>
    </row>
    <row r="812" spans="2:12" ht="18" customHeight="1" x14ac:dyDescent="0.2">
      <c r="B812" s="131"/>
      <c r="C812" s="72"/>
      <c r="D812" s="132"/>
      <c r="E812" s="132"/>
      <c r="F812" s="132"/>
      <c r="G812" s="132"/>
      <c r="H812" s="132"/>
      <c r="I812" s="132"/>
      <c r="J812" s="132"/>
      <c r="K812" s="132"/>
      <c r="L812" s="177"/>
    </row>
    <row r="813" spans="2:12" ht="18" customHeight="1" x14ac:dyDescent="0.2">
      <c r="B813" s="131"/>
      <c r="C813" s="72"/>
      <c r="D813" s="132"/>
      <c r="E813" s="132"/>
      <c r="F813" s="132"/>
      <c r="G813" s="132"/>
      <c r="H813" s="132"/>
      <c r="I813" s="132"/>
      <c r="J813" s="132"/>
      <c r="K813" s="132"/>
      <c r="L813" s="177"/>
    </row>
    <row r="814" spans="2:12" ht="18" customHeight="1" x14ac:dyDescent="0.2">
      <c r="B814" s="131"/>
      <c r="C814" s="72"/>
      <c r="D814" s="132"/>
      <c r="E814" s="132"/>
      <c r="F814" s="132"/>
      <c r="G814" s="132"/>
      <c r="H814" s="132"/>
      <c r="I814" s="132"/>
      <c r="J814" s="132"/>
      <c r="K814" s="132"/>
      <c r="L814" s="177"/>
    </row>
    <row r="815" spans="2:12" ht="18" customHeight="1" x14ac:dyDescent="0.2">
      <c r="B815" s="131"/>
      <c r="C815" s="72"/>
      <c r="D815" s="132"/>
      <c r="E815" s="132"/>
      <c r="F815" s="132"/>
      <c r="G815" s="132"/>
      <c r="H815" s="132"/>
      <c r="I815" s="132"/>
      <c r="J815" s="132"/>
      <c r="K815" s="132"/>
      <c r="L815" s="177"/>
    </row>
    <row r="816" spans="2:12" ht="18" customHeight="1" x14ac:dyDescent="0.2">
      <c r="B816" s="131"/>
      <c r="C816" s="72"/>
      <c r="D816" s="132"/>
      <c r="E816" s="132"/>
      <c r="F816" s="132"/>
      <c r="G816" s="132"/>
      <c r="H816" s="132"/>
      <c r="I816" s="132"/>
      <c r="J816" s="132"/>
      <c r="K816" s="132"/>
      <c r="L816" s="177"/>
    </row>
    <row r="817" spans="2:12" ht="18" customHeight="1" x14ac:dyDescent="0.2">
      <c r="B817" s="131"/>
      <c r="C817" s="72"/>
      <c r="D817" s="132"/>
      <c r="E817" s="132"/>
      <c r="F817" s="132"/>
      <c r="G817" s="132"/>
      <c r="H817" s="132"/>
      <c r="I817" s="132"/>
      <c r="J817" s="132"/>
      <c r="K817" s="132"/>
      <c r="L817" s="177"/>
    </row>
    <row r="818" spans="2:12" ht="18" customHeight="1" x14ac:dyDescent="0.2">
      <c r="B818" s="131"/>
      <c r="C818" s="72"/>
      <c r="D818" s="132"/>
      <c r="E818" s="132"/>
      <c r="F818" s="132"/>
      <c r="G818" s="132"/>
      <c r="H818" s="132"/>
      <c r="I818" s="132"/>
      <c r="J818" s="132"/>
      <c r="K818" s="132"/>
      <c r="L818" s="177"/>
    </row>
    <row r="819" spans="2:12" ht="18" customHeight="1" x14ac:dyDescent="0.2">
      <c r="B819" s="131"/>
      <c r="C819" s="72"/>
      <c r="D819" s="132"/>
      <c r="E819" s="132"/>
      <c r="F819" s="132"/>
      <c r="G819" s="132"/>
      <c r="H819" s="132"/>
      <c r="I819" s="132"/>
      <c r="J819" s="132"/>
      <c r="K819" s="132"/>
      <c r="L819" s="177"/>
    </row>
    <row r="820" spans="2:12" ht="18" customHeight="1" x14ac:dyDescent="0.2">
      <c r="B820" s="131"/>
      <c r="C820" s="72"/>
      <c r="D820" s="132"/>
      <c r="E820" s="132"/>
      <c r="F820" s="132"/>
      <c r="G820" s="132"/>
      <c r="H820" s="132"/>
      <c r="I820" s="132"/>
      <c r="J820" s="132"/>
      <c r="K820" s="132"/>
      <c r="L820" s="177"/>
    </row>
    <row r="821" spans="2:12" ht="18" customHeight="1" x14ac:dyDescent="0.2">
      <c r="B821" s="131"/>
      <c r="C821" s="72"/>
      <c r="D821" s="132"/>
      <c r="E821" s="132"/>
      <c r="F821" s="132"/>
      <c r="G821" s="132"/>
      <c r="H821" s="132"/>
      <c r="I821" s="132"/>
      <c r="J821" s="132"/>
      <c r="K821" s="132"/>
      <c r="L821" s="177"/>
    </row>
    <row r="822" spans="2:12" ht="18" customHeight="1" x14ac:dyDescent="0.2">
      <c r="B822" s="131"/>
      <c r="C822" s="72"/>
      <c r="D822" s="132"/>
      <c r="E822" s="132"/>
      <c r="F822" s="132"/>
      <c r="G822" s="132"/>
      <c r="H822" s="132"/>
      <c r="I822" s="132"/>
      <c r="J822" s="132"/>
      <c r="K822" s="132"/>
      <c r="L822" s="177"/>
    </row>
    <row r="823" spans="2:12" ht="18" customHeight="1" x14ac:dyDescent="0.2">
      <c r="B823" s="131"/>
      <c r="C823" s="72"/>
      <c r="D823" s="132"/>
      <c r="E823" s="132"/>
      <c r="F823" s="132"/>
      <c r="G823" s="132"/>
      <c r="H823" s="132"/>
      <c r="I823" s="132"/>
      <c r="J823" s="132"/>
      <c r="K823" s="132"/>
      <c r="L823" s="177"/>
    </row>
    <row r="824" spans="2:12" ht="18" customHeight="1" x14ac:dyDescent="0.2">
      <c r="B824" s="131"/>
      <c r="C824" s="72"/>
      <c r="D824" s="132"/>
      <c r="E824" s="132"/>
      <c r="F824" s="132"/>
      <c r="G824" s="132"/>
      <c r="H824" s="132"/>
      <c r="I824" s="132"/>
      <c r="J824" s="132"/>
      <c r="K824" s="132"/>
      <c r="L824" s="177"/>
    </row>
    <row r="825" spans="2:12" ht="18" customHeight="1" x14ac:dyDescent="0.2">
      <c r="B825" s="131"/>
      <c r="C825" s="72"/>
      <c r="D825" s="132"/>
      <c r="E825" s="132"/>
      <c r="F825" s="132"/>
      <c r="G825" s="132"/>
      <c r="H825" s="132"/>
      <c r="I825" s="132"/>
      <c r="J825" s="132"/>
      <c r="K825" s="132"/>
      <c r="L825" s="177"/>
    </row>
    <row r="826" spans="2:12" ht="18" customHeight="1" x14ac:dyDescent="0.2">
      <c r="B826" s="131"/>
      <c r="C826" s="72"/>
      <c r="D826" s="132"/>
      <c r="E826" s="132"/>
      <c r="F826" s="132"/>
      <c r="G826" s="132"/>
      <c r="H826" s="132"/>
      <c r="I826" s="132"/>
      <c r="J826" s="132"/>
      <c r="K826" s="132"/>
      <c r="L826" s="177"/>
    </row>
    <row r="827" spans="2:12" ht="18" customHeight="1" x14ac:dyDescent="0.2">
      <c r="B827" s="131"/>
      <c r="C827" s="72"/>
      <c r="D827" s="132"/>
      <c r="E827" s="132"/>
      <c r="F827" s="132"/>
      <c r="G827" s="132"/>
      <c r="H827" s="132"/>
      <c r="I827" s="132"/>
      <c r="J827" s="132"/>
      <c r="K827" s="132"/>
      <c r="L827" s="177"/>
    </row>
    <row r="828" spans="2:12" ht="18" customHeight="1" x14ac:dyDescent="0.2">
      <c r="B828" s="131"/>
      <c r="C828" s="72"/>
      <c r="D828" s="132"/>
      <c r="E828" s="132"/>
      <c r="F828" s="132"/>
      <c r="G828" s="132"/>
      <c r="H828" s="132"/>
      <c r="I828" s="132"/>
      <c r="J828" s="132"/>
      <c r="K828" s="132"/>
      <c r="L828" s="177"/>
    </row>
    <row r="829" spans="2:12" ht="18" customHeight="1" x14ac:dyDescent="0.2">
      <c r="B829" s="131"/>
      <c r="C829" s="72"/>
      <c r="D829" s="132"/>
      <c r="E829" s="132"/>
      <c r="F829" s="132"/>
      <c r="G829" s="132"/>
      <c r="H829" s="132"/>
      <c r="I829" s="132"/>
      <c r="J829" s="132"/>
      <c r="K829" s="132"/>
      <c r="L829" s="177"/>
    </row>
    <row r="830" spans="2:12" ht="18" customHeight="1" x14ac:dyDescent="0.2">
      <c r="B830" s="131"/>
      <c r="C830" s="72"/>
      <c r="D830" s="132"/>
      <c r="E830" s="132"/>
      <c r="F830" s="132"/>
      <c r="G830" s="132"/>
      <c r="H830" s="132"/>
      <c r="I830" s="132"/>
      <c r="J830" s="132"/>
      <c r="K830" s="132"/>
      <c r="L830" s="177"/>
    </row>
    <row r="831" spans="2:12" ht="18" customHeight="1" x14ac:dyDescent="0.2">
      <c r="B831" s="131"/>
      <c r="C831" s="72"/>
      <c r="D831" s="132"/>
      <c r="E831" s="132"/>
      <c r="F831" s="132"/>
      <c r="G831" s="132"/>
      <c r="H831" s="132"/>
      <c r="I831" s="132"/>
      <c r="J831" s="132"/>
      <c r="K831" s="132"/>
      <c r="L831" s="177"/>
    </row>
    <row r="832" spans="2:12" ht="18" customHeight="1" x14ac:dyDescent="0.2">
      <c r="B832" s="131"/>
      <c r="C832" s="72"/>
      <c r="D832" s="132"/>
      <c r="E832" s="132"/>
      <c r="F832" s="132"/>
      <c r="G832" s="132"/>
      <c r="H832" s="132"/>
      <c r="I832" s="132"/>
      <c r="J832" s="132"/>
      <c r="K832" s="132"/>
      <c r="L832" s="177"/>
    </row>
    <row r="833" spans="2:12" ht="18" customHeight="1" x14ac:dyDescent="0.2">
      <c r="B833" s="131"/>
      <c r="C833" s="72"/>
      <c r="D833" s="132"/>
      <c r="E833" s="132"/>
      <c r="F833" s="132"/>
      <c r="G833" s="132"/>
      <c r="H833" s="132"/>
      <c r="I833" s="132"/>
      <c r="J833" s="132"/>
      <c r="K833" s="132"/>
      <c r="L833" s="177"/>
    </row>
    <row r="834" spans="2:12" ht="18" customHeight="1" x14ac:dyDescent="0.2">
      <c r="B834" s="131"/>
      <c r="C834" s="72"/>
      <c r="D834" s="132"/>
      <c r="E834" s="132"/>
      <c r="F834" s="132"/>
      <c r="G834" s="132"/>
      <c r="H834" s="132"/>
      <c r="I834" s="132"/>
      <c r="J834" s="132"/>
      <c r="K834" s="132"/>
      <c r="L834" s="177"/>
    </row>
    <row r="835" spans="2:12" ht="18" customHeight="1" x14ac:dyDescent="0.2">
      <c r="B835" s="131"/>
      <c r="C835" s="72"/>
      <c r="D835" s="132"/>
      <c r="E835" s="132"/>
      <c r="F835" s="132"/>
      <c r="G835" s="132"/>
      <c r="H835" s="132"/>
      <c r="I835" s="132"/>
      <c r="J835" s="132"/>
      <c r="K835" s="132"/>
      <c r="L835" s="177"/>
    </row>
    <row r="836" spans="2:12" ht="18" customHeight="1" x14ac:dyDescent="0.2">
      <c r="B836" s="131"/>
      <c r="C836" s="72"/>
      <c r="D836" s="132"/>
      <c r="E836" s="132"/>
      <c r="F836" s="132"/>
      <c r="G836" s="132"/>
      <c r="H836" s="132"/>
      <c r="I836" s="132"/>
      <c r="J836" s="132"/>
      <c r="K836" s="132"/>
      <c r="L836" s="177"/>
    </row>
    <row r="837" spans="2:12" ht="18" customHeight="1" x14ac:dyDescent="0.2">
      <c r="B837" s="131"/>
      <c r="C837" s="72"/>
      <c r="D837" s="132"/>
      <c r="E837" s="132"/>
      <c r="F837" s="132"/>
      <c r="G837" s="132"/>
      <c r="H837" s="132"/>
      <c r="I837" s="132"/>
      <c r="J837" s="132"/>
      <c r="K837" s="132"/>
      <c r="L837" s="177"/>
    </row>
    <row r="838" spans="2:12" ht="18" customHeight="1" x14ac:dyDescent="0.2">
      <c r="B838" s="131"/>
      <c r="C838" s="72"/>
      <c r="D838" s="132"/>
      <c r="E838" s="132"/>
      <c r="F838" s="132"/>
      <c r="G838" s="132"/>
      <c r="H838" s="132"/>
      <c r="I838" s="132"/>
      <c r="J838" s="132"/>
      <c r="K838" s="132"/>
      <c r="L838" s="177"/>
    </row>
    <row r="839" spans="2:12" ht="18" customHeight="1" x14ac:dyDescent="0.2">
      <c r="B839" s="131"/>
      <c r="C839" s="72"/>
      <c r="D839" s="132"/>
      <c r="E839" s="132"/>
      <c r="F839" s="132"/>
      <c r="G839" s="132"/>
      <c r="H839" s="132"/>
      <c r="I839" s="132"/>
      <c r="J839" s="132"/>
      <c r="K839" s="132"/>
      <c r="L839" s="177"/>
    </row>
    <row r="840" spans="2:12" ht="18" customHeight="1" x14ac:dyDescent="0.2">
      <c r="B840" s="172"/>
      <c r="C840" s="170"/>
      <c r="D840" s="173"/>
      <c r="E840" s="173"/>
      <c r="F840" s="173"/>
      <c r="G840" s="173"/>
      <c r="H840" s="173"/>
      <c r="I840" s="173"/>
      <c r="J840" s="173"/>
      <c r="K840" s="173"/>
      <c r="L840" s="174"/>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31</v>
      </c>
      <c r="C842" s="25"/>
      <c r="D842" s="25"/>
      <c r="E842" s="25"/>
      <c r="F842" s="25"/>
      <c r="G842" s="25"/>
      <c r="H842" s="25"/>
      <c r="I842" s="25"/>
      <c r="J842" s="25"/>
      <c r="K842" s="25"/>
      <c r="L842" s="26"/>
    </row>
    <row r="843" spans="2:12" ht="27" customHeight="1" x14ac:dyDescent="0.2">
      <c r="B843" s="673" t="s">
        <v>900</v>
      </c>
      <c r="C843" s="460"/>
      <c r="D843" s="460"/>
      <c r="E843" s="257" t="s">
        <v>414</v>
      </c>
      <c r="F843" s="91" t="s">
        <v>32</v>
      </c>
      <c r="G843" s="257" t="s">
        <v>910</v>
      </c>
      <c r="H843" s="257" t="s">
        <v>901</v>
      </c>
      <c r="I843" s="257" t="s">
        <v>902</v>
      </c>
      <c r="J843" s="673" t="s">
        <v>911</v>
      </c>
      <c r="K843" s="460"/>
      <c r="L843" s="674"/>
    </row>
    <row r="844" spans="2:12" ht="54.75" customHeight="1" x14ac:dyDescent="0.2">
      <c r="B844" s="519"/>
      <c r="C844" s="505"/>
      <c r="D844" s="494"/>
      <c r="E844" s="264"/>
      <c r="F844" s="265"/>
      <c r="G844" s="263"/>
      <c r="H844" s="253" t="str">
        <f t="shared" ref="H844:H850" si="2">IF(OR(ISBLANK(F844),ISBLANK(G844)),"",VLOOKUP(F844&amp;"_"&amp;G844,risk_score_table,2,FALSE))</f>
        <v/>
      </c>
      <c r="I844" s="265"/>
      <c r="J844" s="559"/>
      <c r="K844" s="505"/>
      <c r="L844" s="494"/>
    </row>
    <row r="845" spans="2:12" ht="54.75" customHeight="1" x14ac:dyDescent="0.2">
      <c r="B845" s="519"/>
      <c r="C845" s="505"/>
      <c r="D845" s="494"/>
      <c r="E845" s="264"/>
      <c r="F845" s="265"/>
      <c r="G845" s="263"/>
      <c r="H845" s="253" t="str">
        <f t="shared" si="2"/>
        <v/>
      </c>
      <c r="I845" s="265"/>
      <c r="J845" s="559"/>
      <c r="K845" s="505"/>
      <c r="L845" s="494"/>
    </row>
    <row r="846" spans="2:12" ht="54.75" customHeight="1" x14ac:dyDescent="0.2">
      <c r="B846" s="519"/>
      <c r="C846" s="505"/>
      <c r="D846" s="494"/>
      <c r="E846" s="264"/>
      <c r="F846" s="265"/>
      <c r="G846" s="263"/>
      <c r="H846" s="253" t="str">
        <f t="shared" si="2"/>
        <v/>
      </c>
      <c r="I846" s="265"/>
      <c r="J846" s="559"/>
      <c r="K846" s="505"/>
      <c r="L846" s="494"/>
    </row>
    <row r="847" spans="2:12" ht="54.75" customHeight="1" x14ac:dyDescent="0.2">
      <c r="B847" s="519"/>
      <c r="C847" s="505"/>
      <c r="D847" s="494"/>
      <c r="E847" s="264"/>
      <c r="F847" s="265"/>
      <c r="G847" s="263"/>
      <c r="H847" s="253" t="str">
        <f t="shared" si="2"/>
        <v/>
      </c>
      <c r="I847" s="265"/>
      <c r="J847" s="559"/>
      <c r="K847" s="505"/>
      <c r="L847" s="494"/>
    </row>
    <row r="848" spans="2:12" ht="54.75" customHeight="1" x14ac:dyDescent="0.2">
      <c r="B848" s="519"/>
      <c r="C848" s="505"/>
      <c r="D848" s="494"/>
      <c r="E848" s="264"/>
      <c r="F848" s="265"/>
      <c r="G848" s="263"/>
      <c r="H848" s="253" t="str">
        <f t="shared" si="2"/>
        <v/>
      </c>
      <c r="I848" s="265"/>
      <c r="J848" s="559"/>
      <c r="K848" s="505"/>
      <c r="L848" s="494"/>
    </row>
    <row r="849" spans="2:14" ht="54.75" customHeight="1" x14ac:dyDescent="0.2">
      <c r="B849" s="519"/>
      <c r="C849" s="505"/>
      <c r="D849" s="494"/>
      <c r="E849" s="264"/>
      <c r="F849" s="265"/>
      <c r="G849" s="263"/>
      <c r="H849" s="253" t="str">
        <f t="shared" si="2"/>
        <v/>
      </c>
      <c r="I849" s="265"/>
      <c r="J849" s="559"/>
      <c r="K849" s="505"/>
      <c r="L849" s="494"/>
    </row>
    <row r="850" spans="2:14" ht="54.75" customHeight="1" x14ac:dyDescent="0.2">
      <c r="B850" s="519"/>
      <c r="C850" s="505"/>
      <c r="D850" s="494"/>
      <c r="E850" s="264"/>
      <c r="F850" s="265"/>
      <c r="G850" s="263"/>
      <c r="H850" s="253" t="str">
        <f t="shared" si="2"/>
        <v/>
      </c>
      <c r="I850" s="265"/>
      <c r="J850" s="559"/>
      <c r="K850" s="505"/>
      <c r="L850" s="494"/>
    </row>
    <row r="851" spans="2:14" x14ac:dyDescent="0.2">
      <c r="B851" s="77" t="s">
        <v>33</v>
      </c>
      <c r="C851" s="77"/>
    </row>
    <row r="852" spans="2:14" ht="18" customHeight="1" x14ac:dyDescent="0.2">
      <c r="B852" s="130" t="s">
        <v>519</v>
      </c>
      <c r="C852" s="25"/>
      <c r="D852" s="25"/>
      <c r="E852" s="25"/>
      <c r="F852" s="25"/>
      <c r="G852" s="25"/>
      <c r="H852" s="25"/>
      <c r="I852" s="25"/>
      <c r="J852" s="25"/>
      <c r="K852" s="25"/>
      <c r="L852" s="26"/>
    </row>
    <row r="853" spans="2:14" ht="18" customHeight="1" x14ac:dyDescent="0.2">
      <c r="B853" s="488" t="s">
        <v>514</v>
      </c>
      <c r="C853" s="580"/>
      <c r="D853" s="580"/>
      <c r="E853" s="580"/>
      <c r="F853" s="580"/>
      <c r="G853" s="580"/>
      <c r="H853" s="580"/>
      <c r="I853" s="580"/>
      <c r="J853" s="581"/>
      <c r="K853" s="519"/>
      <c r="L853" s="527"/>
      <c r="N853" s="119"/>
    </row>
    <row r="854" spans="2:14" ht="18" customHeight="1" x14ac:dyDescent="0.2">
      <c r="B854" s="488" t="s">
        <v>515</v>
      </c>
      <c r="C854" s="580" t="s">
        <v>511</v>
      </c>
      <c r="D854" s="580" t="s">
        <v>511</v>
      </c>
      <c r="E854" s="580" t="s">
        <v>511</v>
      </c>
      <c r="F854" s="580" t="s">
        <v>511</v>
      </c>
      <c r="G854" s="580" t="s">
        <v>511</v>
      </c>
      <c r="H854" s="580" t="s">
        <v>511</v>
      </c>
      <c r="I854" s="580" t="s">
        <v>511</v>
      </c>
      <c r="J854" s="581" t="s">
        <v>511</v>
      </c>
      <c r="K854" s="519"/>
      <c r="L854" s="527"/>
    </row>
    <row r="855" spans="2:14" ht="18" customHeight="1" x14ac:dyDescent="0.2">
      <c r="B855" s="488" t="s">
        <v>516</v>
      </c>
      <c r="C855" s="580" t="s">
        <v>512</v>
      </c>
      <c r="D855" s="580" t="s">
        <v>512</v>
      </c>
      <c r="E855" s="580" t="s">
        <v>512</v>
      </c>
      <c r="F855" s="580" t="s">
        <v>512</v>
      </c>
      <c r="G855" s="580" t="s">
        <v>512</v>
      </c>
      <c r="H855" s="580" t="s">
        <v>512</v>
      </c>
      <c r="I855" s="580" t="s">
        <v>512</v>
      </c>
      <c r="J855" s="581" t="s">
        <v>512</v>
      </c>
      <c r="K855" s="519"/>
      <c r="L855" s="527"/>
    </row>
    <row r="856" spans="2:14" ht="18" customHeight="1" x14ac:dyDescent="0.2">
      <c r="B856" s="488" t="s">
        <v>517</v>
      </c>
      <c r="C856" s="580" t="s">
        <v>513</v>
      </c>
      <c r="D856" s="580" t="s">
        <v>513</v>
      </c>
      <c r="E856" s="580" t="s">
        <v>513</v>
      </c>
      <c r="F856" s="580" t="s">
        <v>513</v>
      </c>
      <c r="G856" s="580" t="s">
        <v>513</v>
      </c>
      <c r="H856" s="580" t="s">
        <v>513</v>
      </c>
      <c r="I856" s="580" t="s">
        <v>513</v>
      </c>
      <c r="J856" s="581" t="s">
        <v>513</v>
      </c>
      <c r="K856" s="519"/>
      <c r="L856" s="527"/>
    </row>
    <row r="857" spans="2:14" ht="18" customHeight="1" x14ac:dyDescent="0.2">
      <c r="B857" s="488" t="s">
        <v>518</v>
      </c>
      <c r="C857" s="528"/>
      <c r="D857" s="528"/>
      <c r="E857" s="528"/>
      <c r="F857" s="528"/>
      <c r="G857" s="528"/>
      <c r="H857" s="528"/>
      <c r="I857" s="528"/>
      <c r="J857" s="529"/>
      <c r="K857" s="519"/>
      <c r="L857" s="527"/>
    </row>
    <row r="858" spans="2:14" ht="18" customHeight="1" x14ac:dyDescent="0.2">
      <c r="B858" s="131"/>
      <c r="C858" s="72"/>
      <c r="D858" s="132"/>
      <c r="E858" s="132"/>
      <c r="F858" s="132"/>
      <c r="G858" s="132"/>
      <c r="H858" s="132"/>
      <c r="I858" s="132"/>
      <c r="J858" s="132"/>
      <c r="K858" s="132"/>
      <c r="L858" s="177"/>
    </row>
    <row r="859" spans="2:14" ht="18" customHeight="1" x14ac:dyDescent="0.2">
      <c r="B859" s="131"/>
      <c r="C859" s="72"/>
      <c r="D859" s="132"/>
      <c r="E859" s="132"/>
      <c r="F859" s="132"/>
      <c r="G859" s="132"/>
      <c r="H859" s="132"/>
      <c r="I859" s="132"/>
      <c r="J859" s="132"/>
      <c r="K859" s="132"/>
      <c r="L859" s="177"/>
    </row>
    <row r="860" spans="2:14" ht="18" customHeight="1" x14ac:dyDescent="0.2">
      <c r="B860" s="131"/>
      <c r="C860" s="72"/>
      <c r="D860" s="132"/>
      <c r="E860" s="132"/>
      <c r="F860" s="132"/>
      <c r="G860" s="132"/>
      <c r="H860" s="132"/>
      <c r="I860" s="132"/>
      <c r="J860" s="132"/>
      <c r="K860" s="132"/>
      <c r="L860" s="177"/>
    </row>
    <row r="861" spans="2:14" ht="18" customHeight="1" x14ac:dyDescent="0.2">
      <c r="B861" s="131"/>
      <c r="C861" s="72"/>
      <c r="D861" s="132"/>
      <c r="E861" s="132"/>
      <c r="F861" s="132"/>
      <c r="G861" s="132"/>
      <c r="H861" s="132"/>
      <c r="I861" s="132"/>
      <c r="J861" s="132"/>
      <c r="K861" s="132"/>
      <c r="L861" s="177"/>
    </row>
    <row r="862" spans="2:14" ht="18" customHeight="1" x14ac:dyDescent="0.2">
      <c r="B862" s="131"/>
      <c r="C862" s="72"/>
      <c r="D862" s="132"/>
      <c r="E862" s="132"/>
      <c r="F862" s="132"/>
      <c r="G862" s="132"/>
      <c r="H862" s="132"/>
      <c r="I862" s="132"/>
      <c r="J862" s="132"/>
      <c r="K862" s="132"/>
      <c r="L862" s="177"/>
    </row>
    <row r="863" spans="2:14" ht="18" customHeight="1" x14ac:dyDescent="0.2">
      <c r="B863" s="131"/>
      <c r="C863" s="72"/>
      <c r="D863" s="132"/>
      <c r="E863" s="132"/>
      <c r="F863" s="132"/>
      <c r="G863" s="132"/>
      <c r="H863" s="132"/>
      <c r="I863" s="132"/>
      <c r="J863" s="132"/>
      <c r="K863" s="132"/>
      <c r="L863" s="177"/>
    </row>
    <row r="864" spans="2:14" ht="18" customHeight="1" x14ac:dyDescent="0.2">
      <c r="B864" s="131"/>
      <c r="C864" s="72"/>
      <c r="D864" s="132"/>
      <c r="E864" s="132"/>
      <c r="F864" s="132"/>
      <c r="G864" s="132"/>
      <c r="H864" s="132"/>
      <c r="I864" s="132"/>
      <c r="J864" s="132"/>
      <c r="K864" s="132"/>
      <c r="L864" s="177"/>
    </row>
    <row r="865" spans="2:12" ht="18" customHeight="1" x14ac:dyDescent="0.2">
      <c r="B865" s="131"/>
      <c r="C865" s="72"/>
      <c r="D865" s="132"/>
      <c r="E865" s="132"/>
      <c r="F865" s="132"/>
      <c r="G865" s="132"/>
      <c r="H865" s="132"/>
      <c r="I865" s="132"/>
      <c r="J865" s="132"/>
      <c r="K865" s="132"/>
      <c r="L865" s="177"/>
    </row>
    <row r="866" spans="2:12" ht="18" customHeight="1" x14ac:dyDescent="0.2">
      <c r="B866" s="131"/>
      <c r="C866" s="72"/>
      <c r="D866" s="132"/>
      <c r="E866" s="132"/>
      <c r="F866" s="132"/>
      <c r="G866" s="132"/>
      <c r="H866" s="132"/>
      <c r="I866" s="132"/>
      <c r="J866" s="132"/>
      <c r="K866" s="132"/>
      <c r="L866" s="177"/>
    </row>
    <row r="867" spans="2:12" ht="18" customHeight="1" x14ac:dyDescent="0.2">
      <c r="B867" s="131"/>
      <c r="C867" s="72"/>
      <c r="D867" s="132"/>
      <c r="E867" s="132"/>
      <c r="F867" s="132"/>
      <c r="G867" s="132"/>
      <c r="H867" s="132"/>
      <c r="I867" s="132"/>
      <c r="J867" s="132"/>
      <c r="K867" s="132"/>
      <c r="L867" s="177"/>
    </row>
    <row r="868" spans="2:12" ht="18" customHeight="1" x14ac:dyDescent="0.2">
      <c r="B868" s="172"/>
      <c r="C868" s="170"/>
      <c r="D868" s="173"/>
      <c r="E868" s="173"/>
      <c r="F868" s="173"/>
      <c r="G868" s="173"/>
      <c r="H868" s="173"/>
      <c r="I868" s="173"/>
      <c r="J868" s="173"/>
      <c r="K868" s="173"/>
      <c r="L868" s="174"/>
    </row>
    <row r="869" spans="2:12" s="78" customFormat="1" ht="3.75" customHeight="1" x14ac:dyDescent="0.2"/>
    <row r="870" spans="2:12" s="78" customFormat="1" ht="5.25" customHeight="1" x14ac:dyDescent="0.2"/>
    <row r="871" spans="2:12" s="78" customFormat="1" ht="18" customHeight="1" x14ac:dyDescent="0.2">
      <c r="B871" s="133" t="s">
        <v>859</v>
      </c>
      <c r="C871" s="111"/>
      <c r="D871" s="111"/>
      <c r="E871" s="111"/>
      <c r="F871" s="111"/>
      <c r="G871" s="111"/>
      <c r="H871" s="111"/>
      <c r="I871" s="111"/>
      <c r="J871" s="111"/>
      <c r="K871" s="111"/>
      <c r="L871" s="134"/>
    </row>
    <row r="872" spans="2:12" s="78" customFormat="1" ht="18" customHeight="1" x14ac:dyDescent="0.2">
      <c r="B872" s="240" t="s">
        <v>860</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34</v>
      </c>
      <c r="J874" s="675"/>
      <c r="K874" s="676"/>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175</v>
      </c>
      <c r="J876" s="668" t="str">
        <f>IF(investments_included="Yes","5 years","3 years")</f>
        <v>3 years</v>
      </c>
      <c r="K876" s="669"/>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58" t="s">
        <v>940</v>
      </c>
      <c r="C879" s="4"/>
      <c r="D879" s="4"/>
      <c r="E879" s="4"/>
      <c r="F879" s="4"/>
      <c r="G879" s="4"/>
      <c r="H879" s="4"/>
      <c r="I879" s="4"/>
      <c r="J879" s="4"/>
      <c r="K879" s="4"/>
      <c r="L879" s="6"/>
    </row>
    <row r="880" spans="2:12" s="78" customFormat="1" ht="18" customHeight="1" x14ac:dyDescent="0.2">
      <c r="B880" s="597" t="s">
        <v>39</v>
      </c>
      <c r="C880" s="598"/>
      <c r="D880" s="598"/>
      <c r="E880" s="599"/>
      <c r="F880" s="665" t="s">
        <v>38</v>
      </c>
      <c r="G880" s="666"/>
      <c r="H880" s="666"/>
      <c r="I880" s="666"/>
      <c r="J880" s="667"/>
      <c r="K880" s="593" t="s">
        <v>24</v>
      </c>
      <c r="L880" s="594"/>
    </row>
    <row r="881" spans="2:12" s="78" customFormat="1" ht="18" customHeight="1" x14ac:dyDescent="0.2">
      <c r="B881" s="600"/>
      <c r="C881" s="601"/>
      <c r="D881" s="601"/>
      <c r="E881" s="602"/>
      <c r="F881" s="137" t="s">
        <v>12</v>
      </c>
      <c r="G881" s="137" t="s">
        <v>13</v>
      </c>
      <c r="H881" s="137" t="s">
        <v>14</v>
      </c>
      <c r="I881" s="137" t="s">
        <v>15</v>
      </c>
      <c r="J881" s="137" t="s">
        <v>16</v>
      </c>
      <c r="K881" s="595"/>
      <c r="L881" s="596"/>
    </row>
    <row r="882" spans="2:12" s="78" customFormat="1" ht="18" customHeight="1" x14ac:dyDescent="0.2">
      <c r="B882" s="655" t="s">
        <v>26</v>
      </c>
      <c r="C882" s="656"/>
      <c r="D882" s="656"/>
      <c r="E882" s="657"/>
      <c r="F882" s="263"/>
      <c r="G882" s="263"/>
      <c r="H882" s="263"/>
      <c r="I882" s="263"/>
      <c r="J882" s="263"/>
      <c r="K882" s="658">
        <f t="shared" ref="K882:K890" si="3">SUM(E882:J882)</f>
        <v>0</v>
      </c>
      <c r="L882" s="659"/>
    </row>
    <row r="883" spans="2:12" s="78" customFormat="1" ht="18" customHeight="1" x14ac:dyDescent="0.2">
      <c r="B883" s="655" t="s">
        <v>35</v>
      </c>
      <c r="C883" s="656"/>
      <c r="D883" s="656"/>
      <c r="E883" s="657"/>
      <c r="F883" s="263"/>
      <c r="G883" s="263"/>
      <c r="H883" s="263"/>
      <c r="I883" s="263"/>
      <c r="J883" s="263"/>
      <c r="K883" s="658">
        <f t="shared" si="3"/>
        <v>0</v>
      </c>
      <c r="L883" s="659"/>
    </row>
    <row r="884" spans="2:12" s="78" customFormat="1" ht="18" customHeight="1" x14ac:dyDescent="0.2">
      <c r="B884" s="655" t="s">
        <v>36</v>
      </c>
      <c r="C884" s="656"/>
      <c r="D884" s="656"/>
      <c r="E884" s="657"/>
      <c r="F884" s="263"/>
      <c r="G884" s="263"/>
      <c r="H884" s="263"/>
      <c r="I884" s="263"/>
      <c r="J884" s="263"/>
      <c r="K884" s="658">
        <f t="shared" si="3"/>
        <v>0</v>
      </c>
      <c r="L884" s="659"/>
    </row>
    <row r="885" spans="2:12" s="78" customFormat="1" ht="18" customHeight="1" x14ac:dyDescent="0.2">
      <c r="B885" s="481" t="s">
        <v>37</v>
      </c>
      <c r="C885" s="495"/>
      <c r="D885" s="495"/>
      <c r="E885" s="496"/>
      <c r="F885" s="263"/>
      <c r="G885" s="263"/>
      <c r="H885" s="263"/>
      <c r="I885" s="263"/>
      <c r="J885" s="263"/>
      <c r="K885" s="658">
        <f t="shared" si="3"/>
        <v>0</v>
      </c>
      <c r="L885" s="659"/>
    </row>
    <row r="886" spans="2:12" s="78" customFormat="1" ht="18" customHeight="1" x14ac:dyDescent="0.2">
      <c r="B886" s="481" t="s">
        <v>37</v>
      </c>
      <c r="C886" s="495"/>
      <c r="D886" s="495"/>
      <c r="E886" s="496"/>
      <c r="F886" s="263"/>
      <c r="G886" s="263"/>
      <c r="H886" s="263"/>
      <c r="I886" s="263"/>
      <c r="J886" s="263"/>
      <c r="K886" s="658">
        <f t="shared" si="3"/>
        <v>0</v>
      </c>
      <c r="L886" s="659"/>
    </row>
    <row r="887" spans="2:12" s="78" customFormat="1" ht="18" customHeight="1" x14ac:dyDescent="0.2">
      <c r="B887" s="481" t="s">
        <v>37</v>
      </c>
      <c r="C887" s="495"/>
      <c r="D887" s="495"/>
      <c r="E887" s="496"/>
      <c r="F887" s="263"/>
      <c r="G887" s="263"/>
      <c r="H887" s="263"/>
      <c r="I887" s="263"/>
      <c r="J887" s="263"/>
      <c r="K887" s="658">
        <f t="shared" si="3"/>
        <v>0</v>
      </c>
      <c r="L887" s="659"/>
    </row>
    <row r="888" spans="2:12" s="78" customFormat="1" ht="18" customHeight="1" x14ac:dyDescent="0.2">
      <c r="B888" s="481" t="s">
        <v>37</v>
      </c>
      <c r="C888" s="495"/>
      <c r="D888" s="495"/>
      <c r="E888" s="496"/>
      <c r="F888" s="263"/>
      <c r="G888" s="263"/>
      <c r="H888" s="263"/>
      <c r="I888" s="263"/>
      <c r="J888" s="263"/>
      <c r="K888" s="658">
        <f t="shared" si="3"/>
        <v>0</v>
      </c>
      <c r="L888" s="659"/>
    </row>
    <row r="889" spans="2:12" s="78" customFormat="1" ht="18" customHeight="1" x14ac:dyDescent="0.2">
      <c r="B889" s="481" t="s">
        <v>37</v>
      </c>
      <c r="C889" s="495"/>
      <c r="D889" s="495"/>
      <c r="E889" s="496"/>
      <c r="F889" s="263"/>
      <c r="G889" s="263"/>
      <c r="H889" s="263"/>
      <c r="I889" s="263"/>
      <c r="J889" s="263"/>
      <c r="K889" s="658">
        <f t="shared" si="3"/>
        <v>0</v>
      </c>
      <c r="L889" s="659"/>
    </row>
    <row r="890" spans="2:12" s="78" customFormat="1" ht="18" customHeight="1" x14ac:dyDescent="0.2">
      <c r="B890" s="655" t="s">
        <v>24</v>
      </c>
      <c r="C890" s="656"/>
      <c r="D890" s="656"/>
      <c r="E890" s="657"/>
      <c r="F890" s="91">
        <f>SUM(F882:F889)</f>
        <v>0</v>
      </c>
      <c r="G890" s="91">
        <f>SUM(G882:G889)</f>
        <v>0</v>
      </c>
      <c r="H890" s="91">
        <f>SUM(H882:H889)</f>
        <v>0</v>
      </c>
      <c r="I890" s="91">
        <f>SUM(I882:I889)</f>
        <v>0</v>
      </c>
      <c r="J890" s="91">
        <f>SUM(J882:J889)</f>
        <v>0</v>
      </c>
      <c r="K890" s="658">
        <f t="shared" si="3"/>
        <v>0</v>
      </c>
      <c r="L890" s="659"/>
    </row>
    <row r="891" spans="2:12" s="78" customFormat="1" ht="18" customHeight="1" x14ac:dyDescent="0.2">
      <c r="B891" s="597" t="s">
        <v>40</v>
      </c>
      <c r="C891" s="598"/>
      <c r="D891" s="598"/>
      <c r="E891" s="599"/>
      <c r="F891" s="665" t="s">
        <v>38</v>
      </c>
      <c r="G891" s="666"/>
      <c r="H891" s="666"/>
      <c r="I891" s="666"/>
      <c r="J891" s="667"/>
      <c r="K891" s="593" t="s">
        <v>24</v>
      </c>
      <c r="L891" s="594"/>
    </row>
    <row r="892" spans="2:12" s="78" customFormat="1" ht="18" customHeight="1" x14ac:dyDescent="0.2">
      <c r="B892" s="600"/>
      <c r="C892" s="601"/>
      <c r="D892" s="601"/>
      <c r="E892" s="602"/>
      <c r="F892" s="137" t="s">
        <v>12</v>
      </c>
      <c r="G892" s="137" t="s">
        <v>13</v>
      </c>
      <c r="H892" s="137" t="s">
        <v>14</v>
      </c>
      <c r="I892" s="137" t="s">
        <v>15</v>
      </c>
      <c r="J892" s="137" t="s">
        <v>16</v>
      </c>
      <c r="K892" s="595"/>
      <c r="L892" s="596"/>
    </row>
    <row r="893" spans="2:12" s="78" customFormat="1" ht="18" customHeight="1" x14ac:dyDescent="0.2">
      <c r="B893" s="655" t="s">
        <v>41</v>
      </c>
      <c r="C893" s="656"/>
      <c r="D893" s="656"/>
      <c r="E893" s="657"/>
      <c r="F893" s="263"/>
      <c r="G893" s="263"/>
      <c r="H893" s="263"/>
      <c r="I893" s="263"/>
      <c r="J893" s="263"/>
      <c r="K893" s="658">
        <f>SUM(E893:J893)</f>
        <v>0</v>
      </c>
      <c r="L893" s="659"/>
    </row>
    <row r="894" spans="2:12" s="78" customFormat="1" ht="18" customHeight="1" x14ac:dyDescent="0.2">
      <c r="B894" s="655" t="s">
        <v>42</v>
      </c>
      <c r="C894" s="656"/>
      <c r="D894" s="656"/>
      <c r="E894" s="657"/>
      <c r="F894" s="263"/>
      <c r="G894" s="263"/>
      <c r="H894" s="263"/>
      <c r="I894" s="263"/>
      <c r="J894" s="263"/>
      <c r="K894" s="658">
        <f t="shared" ref="K894:K901" si="4">SUM(E894:J894)</f>
        <v>0</v>
      </c>
      <c r="L894" s="659"/>
    </row>
    <row r="895" spans="2:12" s="78" customFormat="1" ht="18" customHeight="1" x14ac:dyDescent="0.2">
      <c r="B895" s="655" t="s">
        <v>43</v>
      </c>
      <c r="C895" s="656"/>
      <c r="D895" s="656"/>
      <c r="E895" s="657"/>
      <c r="F895" s="263"/>
      <c r="G895" s="263"/>
      <c r="H895" s="263"/>
      <c r="I895" s="263"/>
      <c r="J895" s="263"/>
      <c r="K895" s="658">
        <f t="shared" si="4"/>
        <v>0</v>
      </c>
      <c r="L895" s="659"/>
    </row>
    <row r="896" spans="2:12" s="78" customFormat="1" ht="18" customHeight="1" x14ac:dyDescent="0.2">
      <c r="B896" s="655" t="s">
        <v>44</v>
      </c>
      <c r="C896" s="656"/>
      <c r="D896" s="656"/>
      <c r="E896" s="657"/>
      <c r="F896" s="263"/>
      <c r="G896" s="263"/>
      <c r="H896" s="263"/>
      <c r="I896" s="263"/>
      <c r="J896" s="263"/>
      <c r="K896" s="658">
        <f t="shared" si="4"/>
        <v>0</v>
      </c>
      <c r="L896" s="659"/>
    </row>
    <row r="897" spans="2:12" s="78" customFormat="1" ht="18" customHeight="1" x14ac:dyDescent="0.2">
      <c r="B897" s="481" t="s">
        <v>37</v>
      </c>
      <c r="C897" s="495"/>
      <c r="D897" s="495"/>
      <c r="E897" s="496"/>
      <c r="F897" s="263"/>
      <c r="G897" s="263"/>
      <c r="H897" s="263"/>
      <c r="I897" s="263"/>
      <c r="J897" s="263"/>
      <c r="K897" s="658">
        <f t="shared" si="4"/>
        <v>0</v>
      </c>
      <c r="L897" s="659"/>
    </row>
    <row r="898" spans="2:12" s="78" customFormat="1" ht="18" customHeight="1" x14ac:dyDescent="0.2">
      <c r="B898" s="481" t="s">
        <v>37</v>
      </c>
      <c r="C898" s="495"/>
      <c r="D898" s="495"/>
      <c r="E898" s="496"/>
      <c r="F898" s="263"/>
      <c r="G898" s="263"/>
      <c r="H898" s="263"/>
      <c r="I898" s="263"/>
      <c r="J898" s="263"/>
      <c r="K898" s="658">
        <f t="shared" si="4"/>
        <v>0</v>
      </c>
      <c r="L898" s="659"/>
    </row>
    <row r="899" spans="2:12" s="78" customFormat="1" ht="18" customHeight="1" x14ac:dyDescent="0.2">
      <c r="B899" s="481" t="s">
        <v>37</v>
      </c>
      <c r="C899" s="495"/>
      <c r="D899" s="495"/>
      <c r="E899" s="496"/>
      <c r="F899" s="263"/>
      <c r="G899" s="263"/>
      <c r="H899" s="263"/>
      <c r="I899" s="263"/>
      <c r="J899" s="263"/>
      <c r="K899" s="658">
        <f t="shared" si="4"/>
        <v>0</v>
      </c>
      <c r="L899" s="659"/>
    </row>
    <row r="900" spans="2:12" s="78" customFormat="1" ht="18" customHeight="1" x14ac:dyDescent="0.2">
      <c r="B900" s="481" t="s">
        <v>37</v>
      </c>
      <c r="C900" s="495"/>
      <c r="D900" s="495"/>
      <c r="E900" s="496"/>
      <c r="F900" s="263"/>
      <c r="G900" s="263"/>
      <c r="H900" s="263"/>
      <c r="I900" s="263"/>
      <c r="J900" s="263"/>
      <c r="K900" s="658">
        <f t="shared" si="4"/>
        <v>0</v>
      </c>
      <c r="L900" s="659"/>
    </row>
    <row r="901" spans="2:12" s="78" customFormat="1" ht="18" customHeight="1" x14ac:dyDescent="0.2">
      <c r="B901" s="655" t="s">
        <v>24</v>
      </c>
      <c r="C901" s="656"/>
      <c r="D901" s="656"/>
      <c r="E901" s="657"/>
      <c r="F901" s="91">
        <f>SUM(F893:F900)</f>
        <v>0</v>
      </c>
      <c r="G901" s="91">
        <f>SUM(G893:G900)</f>
        <v>0</v>
      </c>
      <c r="H901" s="91">
        <f>SUM(H893:H900)</f>
        <v>0</v>
      </c>
      <c r="I901" s="91">
        <f>SUM(I893:I900)</f>
        <v>0</v>
      </c>
      <c r="J901" s="91">
        <f>SUM(J893:J900)</f>
        <v>0</v>
      </c>
      <c r="K901" s="658">
        <f t="shared" si="4"/>
        <v>0</v>
      </c>
      <c r="L901" s="659"/>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45</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1"/>
    </row>
    <row r="905" spans="2:12" s="78" customFormat="1" ht="18" customHeight="1" x14ac:dyDescent="0.2">
      <c r="B905" s="131"/>
      <c r="C905" s="132"/>
      <c r="D905" s="132"/>
      <c r="E905" s="132"/>
      <c r="F905" s="132"/>
      <c r="G905" s="132"/>
      <c r="H905" s="132"/>
      <c r="I905" s="132"/>
      <c r="J905" s="132"/>
      <c r="K905" s="132"/>
      <c r="L905" s="177"/>
    </row>
    <row r="906" spans="2:12" s="78" customFormat="1" ht="18" customHeight="1" x14ac:dyDescent="0.2">
      <c r="B906" s="131"/>
      <c r="C906" s="132"/>
      <c r="D906" s="132"/>
      <c r="E906" s="132"/>
      <c r="F906" s="132"/>
      <c r="G906" s="132"/>
      <c r="H906" s="132"/>
      <c r="I906" s="132"/>
      <c r="J906" s="132"/>
      <c r="K906" s="132"/>
      <c r="L906" s="177"/>
    </row>
    <row r="907" spans="2:12" s="78" customFormat="1" ht="18" customHeight="1" x14ac:dyDescent="0.2">
      <c r="B907" s="131"/>
      <c r="C907" s="132"/>
      <c r="D907" s="132"/>
      <c r="E907" s="132"/>
      <c r="F907" s="132"/>
      <c r="G907" s="132"/>
      <c r="H907" s="132"/>
      <c r="I907" s="132"/>
      <c r="J907" s="132"/>
      <c r="K907" s="132"/>
      <c r="L907" s="177"/>
    </row>
    <row r="908" spans="2:12" s="78" customFormat="1" ht="18" customHeight="1" x14ac:dyDescent="0.2">
      <c r="B908" s="131"/>
      <c r="C908" s="132"/>
      <c r="D908" s="132"/>
      <c r="E908" s="132"/>
      <c r="F908" s="132"/>
      <c r="G908" s="132"/>
      <c r="H908" s="132"/>
      <c r="I908" s="132"/>
      <c r="J908" s="132"/>
      <c r="K908" s="132"/>
      <c r="L908" s="177"/>
    </row>
    <row r="909" spans="2:12" s="78" customFormat="1" ht="18" customHeight="1" x14ac:dyDescent="0.2">
      <c r="B909" s="131"/>
      <c r="C909" s="132"/>
      <c r="D909" s="132"/>
      <c r="E909" s="132"/>
      <c r="F909" s="132"/>
      <c r="G909" s="132"/>
      <c r="H909" s="132"/>
      <c r="I909" s="132"/>
      <c r="J909" s="132"/>
      <c r="K909" s="132"/>
      <c r="L909" s="177"/>
    </row>
    <row r="910" spans="2:12" s="78" customFormat="1" ht="18" customHeight="1" x14ac:dyDescent="0.2">
      <c r="B910" s="172"/>
      <c r="C910" s="173"/>
      <c r="D910" s="173"/>
      <c r="E910" s="173"/>
      <c r="F910" s="173"/>
      <c r="G910" s="173"/>
      <c r="H910" s="173"/>
      <c r="I910" s="173"/>
      <c r="J910" s="173"/>
      <c r="K910" s="173"/>
      <c r="L910" s="174"/>
    </row>
    <row r="911" spans="2:12" s="78" customFormat="1" ht="3.75" customHeight="1" x14ac:dyDescent="0.2"/>
    <row r="912" spans="2:12" s="4" customFormat="1" ht="18" customHeight="1" x14ac:dyDescent="0.2">
      <c r="B912" s="140" t="s">
        <v>46</v>
      </c>
      <c r="C912" s="109"/>
      <c r="D912" s="109"/>
      <c r="E912" s="109"/>
      <c r="F912" s="109"/>
      <c r="G912" s="109"/>
      <c r="H912" s="109"/>
      <c r="I912" s="109"/>
      <c r="J912" s="109"/>
      <c r="K912" s="109"/>
      <c r="L912" s="110"/>
    </row>
    <row r="913" spans="2:13" ht="28.5" customHeight="1" x14ac:dyDescent="0.2">
      <c r="B913" s="486" t="s">
        <v>890</v>
      </c>
      <c r="C913" s="663"/>
      <c r="D913" s="663"/>
      <c r="E913" s="663"/>
      <c r="F913" s="663"/>
      <c r="G913" s="663"/>
      <c r="H913" s="663"/>
      <c r="I913" s="663"/>
      <c r="J913" s="663"/>
      <c r="K913" s="663"/>
      <c r="L913" s="664"/>
    </row>
    <row r="914" spans="2:13" ht="28.5" customHeight="1" x14ac:dyDescent="0.2">
      <c r="B914" s="141" t="s">
        <v>171</v>
      </c>
      <c r="C914" s="590" t="s">
        <v>71</v>
      </c>
      <c r="D914" s="591"/>
      <c r="E914" s="591"/>
      <c r="F914" s="591"/>
      <c r="G914" s="591"/>
      <c r="H914" s="591"/>
      <c r="I914" s="591"/>
      <c r="J914" s="592"/>
      <c r="K914" s="142" t="s">
        <v>47</v>
      </c>
      <c r="L914" s="142" t="s">
        <v>48</v>
      </c>
    </row>
    <row r="915" spans="2:13" ht="36" customHeight="1" x14ac:dyDescent="0.2">
      <c r="B915" s="136">
        <v>1</v>
      </c>
      <c r="C915" s="587" t="s">
        <v>4</v>
      </c>
      <c r="D915" s="588"/>
      <c r="E915" s="588"/>
      <c r="F915" s="588"/>
      <c r="G915" s="588"/>
      <c r="H915" s="588"/>
      <c r="I915" s="588"/>
      <c r="J915" s="589"/>
      <c r="K915" s="143" t="s">
        <v>453</v>
      </c>
      <c r="L915" s="262"/>
      <c r="M915" s="259"/>
    </row>
    <row r="916" spans="2:13" ht="36" customHeight="1" x14ac:dyDescent="0.2">
      <c r="B916" s="136">
        <v>2</v>
      </c>
      <c r="C916" s="603" t="s">
        <v>1524</v>
      </c>
      <c r="D916" s="588"/>
      <c r="E916" s="588"/>
      <c r="F916" s="588"/>
      <c r="G916" s="588"/>
      <c r="H916" s="588"/>
      <c r="I916" s="588"/>
      <c r="J916" s="589"/>
      <c r="K916" s="143" t="s">
        <v>453</v>
      </c>
      <c r="L916" s="262"/>
      <c r="M916" s="259"/>
    </row>
    <row r="917" spans="2:13" ht="36" customHeight="1" x14ac:dyDescent="0.2">
      <c r="B917" s="136">
        <v>3</v>
      </c>
      <c r="C917" s="603" t="s">
        <v>1523</v>
      </c>
      <c r="D917" s="588"/>
      <c r="E917" s="588"/>
      <c r="F917" s="588"/>
      <c r="G917" s="588"/>
      <c r="H917" s="588"/>
      <c r="I917" s="588"/>
      <c r="J917" s="589"/>
      <c r="K917" s="143" t="s">
        <v>453</v>
      </c>
      <c r="L917" s="262"/>
      <c r="M917" s="259"/>
    </row>
    <row r="918" spans="2:13" ht="36" customHeight="1" x14ac:dyDescent="0.2">
      <c r="B918" s="136">
        <v>4</v>
      </c>
      <c r="C918" s="603" t="s">
        <v>1525</v>
      </c>
      <c r="D918" s="588"/>
      <c r="E918" s="588"/>
      <c r="F918" s="588"/>
      <c r="G918" s="588"/>
      <c r="H918" s="588"/>
      <c r="I918" s="588"/>
      <c r="J918" s="589"/>
      <c r="K918" s="143" t="s">
        <v>453</v>
      </c>
      <c r="L918" s="262"/>
      <c r="M918" s="259"/>
    </row>
    <row r="919" spans="2:13" ht="36" hidden="1" customHeight="1" x14ac:dyDescent="0.2">
      <c r="B919" s="136">
        <v>5</v>
      </c>
      <c r="C919" s="587"/>
      <c r="D919" s="588"/>
      <c r="E919" s="588"/>
      <c r="F919" s="588"/>
      <c r="G919" s="588"/>
      <c r="H919" s="588"/>
      <c r="I919" s="588"/>
      <c r="J919" s="589"/>
      <c r="K919" s="143"/>
      <c r="L919" s="262"/>
      <c r="M919" s="259"/>
    </row>
    <row r="920" spans="2:13" ht="36" hidden="1" customHeight="1" x14ac:dyDescent="0.2">
      <c r="B920" s="136">
        <v>6</v>
      </c>
      <c r="C920" s="587"/>
      <c r="D920" s="588"/>
      <c r="E920" s="588"/>
      <c r="F920" s="588"/>
      <c r="G920" s="588"/>
      <c r="H920" s="588"/>
      <c r="I920" s="588"/>
      <c r="J920" s="589"/>
      <c r="K920" s="143"/>
      <c r="L920" s="262"/>
      <c r="M920" s="259"/>
    </row>
    <row r="921" spans="2:13" ht="36" hidden="1" customHeight="1" x14ac:dyDescent="0.2">
      <c r="B921" s="136">
        <v>7</v>
      </c>
      <c r="C921" s="587"/>
      <c r="D921" s="588"/>
      <c r="E921" s="588"/>
      <c r="F921" s="588"/>
      <c r="G921" s="588"/>
      <c r="H921" s="588"/>
      <c r="I921" s="588"/>
      <c r="J921" s="589"/>
      <c r="K921" s="143"/>
      <c r="L921" s="262"/>
      <c r="M921" s="259"/>
    </row>
    <row r="922" spans="2:13" ht="36" hidden="1" customHeight="1" x14ac:dyDescent="0.2">
      <c r="B922" s="136">
        <v>8</v>
      </c>
      <c r="C922" s="587"/>
      <c r="D922" s="588"/>
      <c r="E922" s="588"/>
      <c r="F922" s="588"/>
      <c r="G922" s="588"/>
      <c r="H922" s="588"/>
      <c r="I922" s="588"/>
      <c r="J922" s="589"/>
      <c r="K922" s="143"/>
      <c r="L922" s="262"/>
      <c r="M922" s="259"/>
    </row>
    <row r="923" spans="2:13" s="78" customFormat="1" ht="6.75" customHeight="1" x14ac:dyDescent="0.2"/>
    <row r="924" spans="2:13" ht="28.5" customHeight="1" x14ac:dyDescent="0.2">
      <c r="B924" s="486" t="s">
        <v>607</v>
      </c>
      <c r="C924" s="582"/>
      <c r="D924" s="582"/>
      <c r="E924" s="582"/>
      <c r="F924" s="582"/>
      <c r="G924" s="582"/>
      <c r="H924" s="582"/>
      <c r="I924" s="582"/>
      <c r="J924" s="582"/>
      <c r="K924" s="582"/>
      <c r="L924" s="583"/>
    </row>
    <row r="925" spans="2:13" ht="30.75" customHeight="1" x14ac:dyDescent="0.2">
      <c r="B925" s="144">
        <v>1</v>
      </c>
      <c r="C925" s="584"/>
      <c r="D925" s="585"/>
      <c r="E925" s="585"/>
      <c r="F925" s="585"/>
      <c r="G925" s="585"/>
      <c r="H925" s="585"/>
      <c r="I925" s="585"/>
      <c r="J925" s="585"/>
      <c r="K925" s="585"/>
      <c r="L925" s="586"/>
    </row>
    <row r="926" spans="2:13" ht="30.75" customHeight="1" x14ac:dyDescent="0.2">
      <c r="B926" s="144">
        <v>2</v>
      </c>
      <c r="C926" s="584"/>
      <c r="D926" s="585"/>
      <c r="E926" s="585"/>
      <c r="F926" s="585"/>
      <c r="G926" s="585"/>
      <c r="H926" s="585"/>
      <c r="I926" s="585"/>
      <c r="J926" s="585"/>
      <c r="K926" s="585"/>
      <c r="L926" s="586"/>
    </row>
    <row r="927" spans="2:13" ht="30.75" customHeight="1" x14ac:dyDescent="0.2">
      <c r="B927" s="144">
        <v>3</v>
      </c>
      <c r="C927" s="584"/>
      <c r="D927" s="585"/>
      <c r="E927" s="585"/>
      <c r="F927" s="585"/>
      <c r="G927" s="585"/>
      <c r="H927" s="585"/>
      <c r="I927" s="585"/>
      <c r="J927" s="585"/>
      <c r="K927" s="585"/>
      <c r="L927" s="586"/>
    </row>
    <row r="928" spans="2:13" ht="30.75" customHeight="1" x14ac:dyDescent="0.2">
      <c r="B928" s="144">
        <v>4</v>
      </c>
      <c r="C928" s="584"/>
      <c r="D928" s="585"/>
      <c r="E928" s="585"/>
      <c r="F928" s="585"/>
      <c r="G928" s="585"/>
      <c r="H928" s="585"/>
      <c r="I928" s="585"/>
      <c r="J928" s="585"/>
      <c r="K928" s="585"/>
      <c r="L928" s="586"/>
    </row>
    <row r="929" spans="2:12" s="78" customFormat="1" ht="6.75" customHeight="1" x14ac:dyDescent="0.2"/>
    <row r="930" spans="2:12" ht="18" customHeight="1" x14ac:dyDescent="0.2">
      <c r="B930" s="660" t="s">
        <v>49</v>
      </c>
      <c r="C930" s="661"/>
      <c r="D930" s="661"/>
      <c r="E930" s="661"/>
      <c r="F930" s="661"/>
      <c r="G930" s="661"/>
      <c r="H930" s="661"/>
      <c r="I930" s="661"/>
      <c r="J930" s="661"/>
      <c r="K930" s="661"/>
      <c r="L930" s="662"/>
    </row>
    <row r="931" spans="2:12" ht="18" customHeight="1" x14ac:dyDescent="0.2">
      <c r="B931" s="131"/>
      <c r="C931" s="72"/>
      <c r="D931" s="132"/>
      <c r="E931" s="132"/>
      <c r="F931" s="132"/>
      <c r="G931" s="132"/>
      <c r="H931" s="132"/>
      <c r="I931" s="132"/>
      <c r="J931" s="132"/>
      <c r="K931" s="132"/>
      <c r="L931" s="177"/>
    </row>
    <row r="932" spans="2:12" ht="18" customHeight="1" x14ac:dyDescent="0.2">
      <c r="B932" s="131"/>
      <c r="C932" s="72"/>
      <c r="D932" s="132"/>
      <c r="E932" s="132"/>
      <c r="F932" s="132"/>
      <c r="G932" s="132"/>
      <c r="H932" s="132"/>
      <c r="I932" s="132"/>
      <c r="J932" s="132"/>
      <c r="K932" s="132"/>
      <c r="L932" s="177"/>
    </row>
    <row r="933" spans="2:12" ht="18" customHeight="1" x14ac:dyDescent="0.2">
      <c r="B933" s="131"/>
      <c r="C933" s="72"/>
      <c r="D933" s="132"/>
      <c r="E933" s="132"/>
      <c r="F933" s="132"/>
      <c r="G933" s="132"/>
      <c r="H933" s="132"/>
      <c r="I933" s="132"/>
      <c r="J933" s="132"/>
      <c r="K933" s="132"/>
      <c r="L933" s="177"/>
    </row>
    <row r="934" spans="2:12" ht="18" customHeight="1" x14ac:dyDescent="0.2">
      <c r="B934" s="131"/>
      <c r="C934" s="72"/>
      <c r="D934" s="132"/>
      <c r="E934" s="132"/>
      <c r="F934" s="132"/>
      <c r="G934" s="132"/>
      <c r="H934" s="132"/>
      <c r="I934" s="132"/>
      <c r="J934" s="132"/>
      <c r="K934" s="132"/>
      <c r="L934" s="177"/>
    </row>
    <row r="935" spans="2:12" ht="18" customHeight="1" x14ac:dyDescent="0.2">
      <c r="B935" s="131"/>
      <c r="C935" s="72"/>
      <c r="D935" s="132"/>
      <c r="E935" s="132"/>
      <c r="F935" s="132"/>
      <c r="G935" s="132"/>
      <c r="H935" s="132"/>
      <c r="I935" s="132"/>
      <c r="J935" s="132"/>
      <c r="K935" s="132"/>
      <c r="L935" s="177"/>
    </row>
    <row r="936" spans="2:12" ht="18" customHeight="1" x14ac:dyDescent="0.2">
      <c r="B936" s="131"/>
      <c r="C936" s="72"/>
      <c r="D936" s="132"/>
      <c r="E936" s="132"/>
      <c r="F936" s="132"/>
      <c r="G936" s="132"/>
      <c r="H936" s="132"/>
      <c r="I936" s="132"/>
      <c r="J936" s="132"/>
      <c r="K936" s="132"/>
      <c r="L936" s="177"/>
    </row>
    <row r="937" spans="2:12" ht="18" customHeight="1" x14ac:dyDescent="0.2">
      <c r="B937" s="131"/>
      <c r="C937" s="72"/>
      <c r="D937" s="132"/>
      <c r="E937" s="132"/>
      <c r="F937" s="132"/>
      <c r="G937" s="132"/>
      <c r="H937" s="132"/>
      <c r="I937" s="132"/>
      <c r="J937" s="132"/>
      <c r="K937" s="132"/>
      <c r="L937" s="177"/>
    </row>
    <row r="938" spans="2:12" ht="18" customHeight="1" x14ac:dyDescent="0.2">
      <c r="B938" s="131"/>
      <c r="C938" s="72"/>
      <c r="D938" s="132"/>
      <c r="E938" s="132"/>
      <c r="F938" s="132"/>
      <c r="G938" s="132"/>
      <c r="H938" s="132"/>
      <c r="I938" s="132"/>
      <c r="J938" s="132"/>
      <c r="K938" s="132"/>
      <c r="L938" s="177"/>
    </row>
    <row r="939" spans="2:12" ht="18" customHeight="1" x14ac:dyDescent="0.2">
      <c r="B939" s="131"/>
      <c r="C939" s="72"/>
      <c r="D939" s="132"/>
      <c r="E939" s="132"/>
      <c r="F939" s="132"/>
      <c r="G939" s="132"/>
      <c r="H939" s="132"/>
      <c r="I939" s="132"/>
      <c r="J939" s="132"/>
      <c r="K939" s="132"/>
      <c r="L939" s="177"/>
    </row>
    <row r="940" spans="2:12" ht="18" customHeight="1" x14ac:dyDescent="0.2">
      <c r="B940" s="131"/>
      <c r="C940" s="72"/>
      <c r="D940" s="132"/>
      <c r="E940" s="132"/>
      <c r="F940" s="132"/>
      <c r="G940" s="132"/>
      <c r="H940" s="132"/>
      <c r="I940" s="132"/>
      <c r="J940" s="132"/>
      <c r="K940" s="132"/>
      <c r="L940" s="177"/>
    </row>
    <row r="941" spans="2:12" ht="18" customHeight="1" x14ac:dyDescent="0.2">
      <c r="B941" s="131"/>
      <c r="C941" s="72"/>
      <c r="D941" s="132"/>
      <c r="E941" s="132"/>
      <c r="F941" s="132"/>
      <c r="G941" s="132"/>
      <c r="H941" s="132"/>
      <c r="I941" s="132"/>
      <c r="J941" s="132"/>
      <c r="K941" s="132"/>
      <c r="L941" s="177"/>
    </row>
    <row r="942" spans="2:12" ht="9" customHeight="1" x14ac:dyDescent="0.2">
      <c r="B942" s="173"/>
      <c r="C942" s="170"/>
      <c r="D942" s="173"/>
      <c r="E942" s="173"/>
      <c r="F942" s="173"/>
      <c r="G942" s="173"/>
      <c r="H942" s="173"/>
      <c r="I942" s="173"/>
      <c r="J942" s="173"/>
      <c r="K942" s="173"/>
      <c r="L942" s="173"/>
    </row>
    <row r="943" spans="2:12" s="4" customFormat="1" ht="18" customHeight="1" x14ac:dyDescent="0.2">
      <c r="B943" s="140" t="s">
        <v>608</v>
      </c>
      <c r="C943" s="109"/>
      <c r="D943" s="109"/>
      <c r="E943" s="109"/>
      <c r="F943" s="109"/>
      <c r="G943" s="109"/>
      <c r="H943" s="109"/>
      <c r="I943" s="109"/>
      <c r="J943" s="109"/>
      <c r="K943" s="109"/>
      <c r="L943" s="110"/>
    </row>
    <row r="944" spans="2:12" ht="6.75" customHeight="1" x14ac:dyDescent="0.2">
      <c r="B944" s="216"/>
      <c r="C944" s="212"/>
      <c r="D944" s="212"/>
      <c r="E944" s="212"/>
      <c r="F944" s="212"/>
      <c r="G944" s="212"/>
      <c r="H944" s="212"/>
      <c r="I944" s="212"/>
      <c r="J944" s="212"/>
      <c r="K944" s="212"/>
      <c r="L944" s="212"/>
    </row>
    <row r="945" spans="1:14" ht="28.5" customHeight="1" x14ac:dyDescent="0.2">
      <c r="B945" s="175"/>
      <c r="C945" s="214" t="s">
        <v>609</v>
      </c>
      <c r="D945" s="215"/>
      <c r="E945" s="215"/>
      <c r="F945" s="215"/>
      <c r="G945" s="215"/>
      <c r="H945" s="215"/>
      <c r="I945" s="215"/>
      <c r="J945" s="215"/>
      <c r="K945" s="213"/>
      <c r="L945" s="213"/>
    </row>
    <row r="946" spans="1:14" ht="28.5" customHeight="1" x14ac:dyDescent="0.2">
      <c r="C946" s="141" t="s">
        <v>171</v>
      </c>
      <c r="D946" s="590" t="s">
        <v>72</v>
      </c>
      <c r="E946" s="592"/>
      <c r="F946" s="590" t="s">
        <v>610</v>
      </c>
      <c r="G946" s="591"/>
      <c r="H946" s="592"/>
      <c r="I946" s="590" t="s">
        <v>611</v>
      </c>
      <c r="J946" s="592"/>
      <c r="K946" s="230"/>
      <c r="L946" s="210"/>
    </row>
    <row r="947" spans="1:14" ht="36" customHeight="1" x14ac:dyDescent="0.2">
      <c r="C947" s="136">
        <v>1</v>
      </c>
      <c r="D947" s="493"/>
      <c r="E947" s="494"/>
      <c r="F947" s="493"/>
      <c r="G947" s="505"/>
      <c r="H947" s="494"/>
      <c r="I947" s="493"/>
      <c r="J947" s="494"/>
      <c r="K947" s="230"/>
      <c r="L947" s="211"/>
    </row>
    <row r="948" spans="1:14" ht="36" customHeight="1" x14ac:dyDescent="0.2">
      <c r="C948" s="136">
        <v>2</v>
      </c>
      <c r="D948" s="493"/>
      <c r="E948" s="494"/>
      <c r="F948" s="493"/>
      <c r="G948" s="505"/>
      <c r="H948" s="494"/>
      <c r="I948" s="493"/>
      <c r="J948" s="494"/>
      <c r="K948" s="230"/>
      <c r="L948" s="211"/>
    </row>
    <row r="949" spans="1:14" ht="36" customHeight="1" x14ac:dyDescent="0.2">
      <c r="C949" s="136">
        <v>3</v>
      </c>
      <c r="D949" s="493"/>
      <c r="E949" s="494"/>
      <c r="F949" s="493"/>
      <c r="G949" s="505"/>
      <c r="H949" s="494"/>
      <c r="I949" s="493"/>
      <c r="J949" s="494"/>
      <c r="K949" s="230"/>
      <c r="L949" s="211"/>
    </row>
    <row r="950" spans="1:14" ht="36" customHeight="1" x14ac:dyDescent="0.2">
      <c r="C950" s="136">
        <v>4</v>
      </c>
      <c r="D950" s="493"/>
      <c r="E950" s="494"/>
      <c r="F950" s="493"/>
      <c r="G950" s="505"/>
      <c r="H950" s="494"/>
      <c r="I950" s="493"/>
      <c r="J950" s="494"/>
      <c r="K950" s="230"/>
      <c r="L950" s="211"/>
    </row>
    <row r="951" spans="1:14" ht="36" customHeight="1" x14ac:dyDescent="0.2">
      <c r="C951" s="136">
        <v>5</v>
      </c>
      <c r="D951" s="493"/>
      <c r="E951" s="494"/>
      <c r="F951" s="493"/>
      <c r="G951" s="505"/>
      <c r="H951" s="494"/>
      <c r="I951" s="493"/>
      <c r="J951" s="494"/>
      <c r="K951" s="230"/>
      <c r="L951" s="211"/>
    </row>
    <row r="952" spans="1:14" ht="36" customHeight="1" x14ac:dyDescent="0.2">
      <c r="C952" s="136">
        <v>6</v>
      </c>
      <c r="D952" s="493"/>
      <c r="E952" s="494"/>
      <c r="F952" s="493"/>
      <c r="G952" s="505"/>
      <c r="H952" s="494"/>
      <c r="I952" s="493"/>
      <c r="J952" s="494"/>
      <c r="K952" s="230"/>
      <c r="L952" s="211"/>
    </row>
    <row r="953" spans="1:14" ht="36" customHeight="1" x14ac:dyDescent="0.2">
      <c r="C953" s="136">
        <v>7</v>
      </c>
      <c r="D953" s="493"/>
      <c r="E953" s="494"/>
      <c r="F953" s="493"/>
      <c r="G953" s="505"/>
      <c r="H953" s="494"/>
      <c r="I953" s="493"/>
      <c r="J953" s="494"/>
      <c r="K953" s="230"/>
      <c r="L953" s="211"/>
    </row>
    <row r="954" spans="1:14" ht="36" customHeight="1" x14ac:dyDescent="0.2">
      <c r="C954" s="136">
        <v>8</v>
      </c>
      <c r="D954" s="493"/>
      <c r="E954" s="494"/>
      <c r="F954" s="493"/>
      <c r="G954" s="505"/>
      <c r="H954" s="494"/>
      <c r="I954" s="493"/>
      <c r="J954" s="494"/>
      <c r="K954" s="230"/>
      <c r="L954" s="211"/>
    </row>
    <row r="955" spans="1:14" ht="6.75" customHeight="1" x14ac:dyDescent="0.2">
      <c r="A955" s="4"/>
      <c r="B955" s="175"/>
      <c r="C955" s="213"/>
      <c r="D955" s="213"/>
      <c r="E955" s="213"/>
      <c r="F955" s="213"/>
      <c r="G955" s="213"/>
      <c r="H955" s="213"/>
      <c r="I955" s="213"/>
      <c r="J955" s="213"/>
      <c r="K955" s="213"/>
      <c r="L955" s="213"/>
      <c r="M955" s="4"/>
    </row>
    <row r="956" spans="1:14" ht="18" customHeight="1" x14ac:dyDescent="0.2">
      <c r="B956" s="145" t="s">
        <v>1378</v>
      </c>
      <c r="C956" s="146"/>
      <c r="D956" s="146"/>
      <c r="E956" s="146"/>
      <c r="F956" s="146"/>
      <c r="G956" s="146"/>
      <c r="H956" s="146"/>
      <c r="I956" s="146"/>
      <c r="J956" s="146"/>
      <c r="K956" s="208"/>
      <c r="L956" s="209"/>
    </row>
    <row r="957" spans="1:14" ht="18" customHeight="1" x14ac:dyDescent="0.2">
      <c r="B957" s="549" t="s">
        <v>1519</v>
      </c>
      <c r="C957" s="550"/>
      <c r="D957" s="550"/>
      <c r="E957" s="550"/>
      <c r="F957" s="550"/>
      <c r="G957" s="550"/>
      <c r="H957" s="550"/>
      <c r="I957" s="550"/>
      <c r="J957" s="550"/>
      <c r="K957" s="550"/>
      <c r="L957" s="551"/>
    </row>
    <row r="958" spans="1:14" ht="110.25" customHeight="1" x14ac:dyDescent="0.2">
      <c r="B958" s="537"/>
      <c r="C958" s="552"/>
      <c r="D958" s="552"/>
      <c r="E958" s="552"/>
      <c r="F958" s="552"/>
      <c r="G958" s="552"/>
      <c r="H958" s="552"/>
      <c r="I958" s="552"/>
      <c r="J958" s="552"/>
      <c r="K958" s="552"/>
      <c r="L958" s="553"/>
      <c r="N958" s="445"/>
    </row>
    <row r="959" spans="1:14" ht="39" customHeight="1" x14ac:dyDescent="0.2">
      <c r="B959" s="537" t="s">
        <v>1360</v>
      </c>
      <c r="C959" s="554"/>
      <c r="D959" s="554"/>
      <c r="E959" s="554"/>
      <c r="F959" s="554"/>
      <c r="G959" s="554"/>
      <c r="H959" s="554"/>
      <c r="I959" s="554"/>
      <c r="J959" s="554"/>
      <c r="K959" s="554"/>
      <c r="L959" s="555"/>
      <c r="N959" s="445"/>
    </row>
    <row r="960" spans="1:14" ht="95.25" customHeight="1" x14ac:dyDescent="0.2">
      <c r="B960" s="537" t="s">
        <v>1520</v>
      </c>
      <c r="C960" s="538"/>
      <c r="D960" s="538"/>
      <c r="E960" s="538"/>
      <c r="F960" s="538"/>
      <c r="G960" s="538"/>
      <c r="H960" s="538"/>
      <c r="I960" s="538"/>
      <c r="J960" s="538"/>
      <c r="K960" s="538"/>
      <c r="L960" s="539"/>
      <c r="N960" s="445"/>
    </row>
    <row r="961" spans="2:14" ht="27.75" customHeight="1" x14ac:dyDescent="0.2">
      <c r="B961" s="540" t="s">
        <v>201</v>
      </c>
      <c r="C961" s="541"/>
      <c r="D961" s="541"/>
      <c r="E961" s="541"/>
      <c r="F961" s="541"/>
      <c r="G961" s="541"/>
      <c r="H961" s="541"/>
      <c r="I961" s="541"/>
      <c r="J961" s="541"/>
      <c r="K961" s="541"/>
      <c r="L961" s="542"/>
      <c r="N961" s="445"/>
    </row>
    <row r="962" spans="2:14" ht="12.75" customHeight="1" x14ac:dyDescent="0.2">
      <c r="B962" s="543" t="s">
        <v>203</v>
      </c>
      <c r="C962" s="544"/>
      <c r="D962" s="544"/>
      <c r="E962" s="544"/>
      <c r="F962" s="544"/>
      <c r="G962" s="544"/>
      <c r="H962" s="544"/>
      <c r="I962" s="544"/>
      <c r="J962" s="544"/>
      <c r="K962" s="544"/>
      <c r="L962" s="545"/>
      <c r="N962" s="445"/>
    </row>
    <row r="963" spans="2:14" ht="12.75" customHeight="1" x14ac:dyDescent="0.2">
      <c r="B963" s="543" t="s">
        <v>202</v>
      </c>
      <c r="C963" s="544"/>
      <c r="D963" s="544"/>
      <c r="E963" s="544"/>
      <c r="F963" s="544"/>
      <c r="G963" s="544"/>
      <c r="H963" s="544"/>
      <c r="I963" s="544"/>
      <c r="J963" s="544"/>
      <c r="K963" s="544"/>
      <c r="L963" s="545"/>
      <c r="N963" s="445"/>
    </row>
    <row r="964" spans="2:14" ht="12.75" customHeight="1" x14ac:dyDescent="0.2">
      <c r="B964" s="543" t="s">
        <v>176</v>
      </c>
      <c r="C964" s="544"/>
      <c r="D964" s="544"/>
      <c r="E964" s="544"/>
      <c r="F964" s="544"/>
      <c r="G964" s="544"/>
      <c r="H964" s="544"/>
      <c r="I964" s="544"/>
      <c r="J964" s="544"/>
      <c r="K964" s="544"/>
      <c r="L964" s="545"/>
      <c r="N964" s="446"/>
    </row>
    <row r="965" spans="2:14" ht="49.5" customHeight="1" x14ac:dyDescent="0.2">
      <c r="B965" s="546" t="s">
        <v>204</v>
      </c>
      <c r="C965" s="547"/>
      <c r="D965" s="547"/>
      <c r="E965" s="547"/>
      <c r="F965" s="547"/>
      <c r="G965" s="547"/>
      <c r="H965" s="547"/>
      <c r="I965" s="547"/>
      <c r="J965" s="547"/>
      <c r="K965" s="547"/>
      <c r="L965" s="548"/>
      <c r="N965" s="446"/>
    </row>
    <row r="966" spans="2:14" ht="12.75" customHeight="1" x14ac:dyDescent="0.2">
      <c r="B966" s="452"/>
      <c r="C966" s="453"/>
      <c r="D966" s="453"/>
      <c r="E966" s="453"/>
      <c r="F966" s="453"/>
      <c r="G966" s="453"/>
      <c r="H966" s="453"/>
      <c r="I966" s="453"/>
      <c r="J966" s="453"/>
      <c r="K966" s="453"/>
      <c r="L966" s="454"/>
      <c r="N966" s="446"/>
    </row>
    <row r="967" spans="2:14" ht="63" customHeight="1" x14ac:dyDescent="0.2">
      <c r="B967" s="540" t="s">
        <v>1521</v>
      </c>
      <c r="C967" s="541"/>
      <c r="D967" s="541"/>
      <c r="E967" s="541"/>
      <c r="F967" s="541"/>
      <c r="G967" s="541"/>
      <c r="H967" s="541"/>
      <c r="I967" s="541"/>
      <c r="J967" s="541"/>
      <c r="K967" s="541"/>
      <c r="L967" s="542"/>
      <c r="N967" s="446"/>
    </row>
    <row r="968" spans="2:14" ht="12.75" customHeight="1" x14ac:dyDescent="0.2">
      <c r="B968" s="543"/>
      <c r="C968" s="544"/>
      <c r="D968" s="544"/>
      <c r="E968" s="544"/>
      <c r="F968" s="544"/>
      <c r="G968" s="544"/>
      <c r="H968" s="544"/>
      <c r="I968" s="544"/>
      <c r="J968" s="544"/>
      <c r="K968" s="544"/>
      <c r="L968" s="545"/>
      <c r="N968" s="445"/>
    </row>
    <row r="969" spans="2:14" ht="12.75" customHeight="1" x14ac:dyDescent="0.2">
      <c r="B969" s="543"/>
      <c r="C969" s="544"/>
      <c r="D969" s="544"/>
      <c r="E969" s="544"/>
      <c r="F969" s="544"/>
      <c r="G969" s="544"/>
      <c r="H969" s="544"/>
      <c r="I969" s="544"/>
      <c r="J969" s="544"/>
      <c r="K969" s="544"/>
      <c r="L969" s="545"/>
      <c r="N969" s="445"/>
    </row>
    <row r="970" spans="2:14" ht="30" customHeight="1" x14ac:dyDescent="0.2">
      <c r="B970" s="543" t="s">
        <v>1359</v>
      </c>
      <c r="C970" s="544"/>
      <c r="D970" s="544"/>
      <c r="E970" s="544"/>
      <c r="F970" s="544"/>
      <c r="G970" s="544"/>
      <c r="H970" s="544"/>
      <c r="I970" s="544"/>
      <c r="J970" s="544"/>
      <c r="K970" s="544"/>
      <c r="L970" s="545"/>
      <c r="N970" s="445"/>
    </row>
    <row r="971" spans="2:14" ht="12.75" customHeight="1" x14ac:dyDescent="0.2">
      <c r="B971" s="543" t="s">
        <v>1358</v>
      </c>
      <c r="C971" s="544"/>
      <c r="D971" s="544"/>
      <c r="E971" s="544"/>
      <c r="F971" s="544"/>
      <c r="G971" s="544"/>
      <c r="H971" s="544"/>
      <c r="I971" s="544"/>
      <c r="J971" s="544"/>
      <c r="K971" s="544"/>
      <c r="L971" s="545"/>
      <c r="N971" s="445"/>
    </row>
    <row r="972" spans="2:14" ht="27" customHeight="1" x14ac:dyDescent="0.2">
      <c r="B972" s="543"/>
      <c r="C972" s="544"/>
      <c r="D972" s="544"/>
      <c r="E972" s="544"/>
      <c r="F972" s="544"/>
      <c r="G972" s="544"/>
      <c r="H972" s="544"/>
      <c r="I972" s="544"/>
      <c r="J972" s="544"/>
      <c r="K972" s="544"/>
      <c r="L972" s="545"/>
      <c r="N972" s="107"/>
    </row>
    <row r="973" spans="2:14" ht="12.75" customHeight="1" x14ac:dyDescent="0.2">
      <c r="B973" s="149"/>
      <c r="C973" s="147"/>
      <c r="D973" s="147"/>
      <c r="E973" s="147"/>
      <c r="F973" s="147"/>
      <c r="G973" s="147"/>
      <c r="H973" s="147"/>
      <c r="I973" s="147"/>
      <c r="J973" s="147"/>
      <c r="K973" s="147"/>
      <c r="L973" s="455"/>
      <c r="N973" s="107"/>
    </row>
    <row r="974" spans="2:14" ht="39" customHeight="1" x14ac:dyDescent="0.2">
      <c r="B974" s="540" t="s">
        <v>1522</v>
      </c>
      <c r="C974" s="541"/>
      <c r="D974" s="541"/>
      <c r="E974" s="541"/>
      <c r="F974" s="541"/>
      <c r="G974" s="541"/>
      <c r="H974" s="541"/>
      <c r="I974" s="541"/>
      <c r="J974" s="541"/>
      <c r="K974" s="541"/>
      <c r="L974" s="542"/>
      <c r="N974" s="107"/>
    </row>
    <row r="975" spans="2:14" ht="12.75" customHeight="1" x14ac:dyDescent="0.2">
      <c r="B975" s="148"/>
      <c r="C975" s="147"/>
      <c r="D975" s="147"/>
      <c r="E975" s="147"/>
      <c r="F975" s="147"/>
      <c r="G975" s="147"/>
      <c r="H975" s="147"/>
      <c r="I975" s="147"/>
      <c r="J975" s="147"/>
      <c r="K975" s="147"/>
      <c r="L975" s="455"/>
      <c r="N975" s="107"/>
    </row>
    <row r="976" spans="2:14" ht="12.75" customHeight="1" x14ac:dyDescent="0.2">
      <c r="B976" s="148"/>
      <c r="C976" s="150"/>
      <c r="D976" s="150"/>
      <c r="E976" s="150"/>
      <c r="F976" s="150"/>
      <c r="G976" s="150"/>
      <c r="H976" s="150"/>
      <c r="I976" s="150"/>
      <c r="J976" s="150"/>
      <c r="K976" s="150"/>
      <c r="L976" s="151"/>
      <c r="N976" s="107"/>
    </row>
    <row r="977" spans="2:12" s="80" customFormat="1" ht="18.75" customHeight="1" x14ac:dyDescent="0.2">
      <c r="B977" s="152"/>
      <c r="C977" s="153"/>
      <c r="D977" s="576" t="s">
        <v>1045</v>
      </c>
      <c r="E977" s="576"/>
      <c r="F977" s="576"/>
      <c r="G977" s="576"/>
      <c r="H977" s="576" t="s">
        <v>1046</v>
      </c>
      <c r="I977" s="576"/>
      <c r="J977" s="576"/>
      <c r="K977" s="576"/>
      <c r="L977" s="154"/>
    </row>
    <row r="978" spans="2:12" s="78" customFormat="1" ht="21.95" customHeight="1" x14ac:dyDescent="0.2">
      <c r="B978" s="155"/>
      <c r="C978" s="156" t="s">
        <v>72</v>
      </c>
      <c r="D978" s="573"/>
      <c r="E978" s="574"/>
      <c r="F978" s="574"/>
      <c r="G978" s="575"/>
      <c r="H978" s="573"/>
      <c r="I978" s="574"/>
      <c r="J978" s="574"/>
      <c r="K978" s="575"/>
      <c r="L978" s="157"/>
    </row>
    <row r="979" spans="2:12" s="78" customFormat="1" ht="12.75" customHeight="1" x14ac:dyDescent="0.2">
      <c r="B979" s="155"/>
      <c r="C979" s="158"/>
      <c r="D979" s="97"/>
      <c r="E979" s="97"/>
      <c r="F979" s="97"/>
      <c r="G979" s="97"/>
      <c r="H979" s="97"/>
      <c r="I979" s="97"/>
      <c r="J979" s="97"/>
      <c r="K979" s="97"/>
      <c r="L979" s="157"/>
    </row>
    <row r="980" spans="2:12" s="78" customFormat="1" ht="60" customHeight="1" x14ac:dyDescent="0.2">
      <c r="B980" s="155"/>
      <c r="C980" s="159" t="s">
        <v>1047</v>
      </c>
      <c r="D980" s="577"/>
      <c r="E980" s="578"/>
      <c r="F980" s="578"/>
      <c r="G980" s="579"/>
      <c r="H980" s="577"/>
      <c r="I980" s="578"/>
      <c r="J980" s="578"/>
      <c r="K980" s="579"/>
      <c r="L980" s="157"/>
    </row>
    <row r="981" spans="2:12" s="78" customFormat="1" ht="12.75" customHeight="1" x14ac:dyDescent="0.2">
      <c r="B981" s="155"/>
      <c r="C981" s="158"/>
      <c r="D981" s="97"/>
      <c r="E981" s="97"/>
      <c r="F981" s="97"/>
      <c r="G981" s="97"/>
      <c r="H981" s="97"/>
      <c r="I981" s="97"/>
      <c r="J981" s="97"/>
      <c r="K981" s="97"/>
      <c r="L981" s="157"/>
    </row>
    <row r="982" spans="2:12" s="78" customFormat="1" ht="21.95" customHeight="1" x14ac:dyDescent="0.2">
      <c r="B982" s="155"/>
      <c r="C982" s="156" t="s">
        <v>205</v>
      </c>
      <c r="D982" s="573"/>
      <c r="E982" s="574"/>
      <c r="F982" s="574"/>
      <c r="G982" s="575"/>
      <c r="H982" s="573"/>
      <c r="I982" s="574"/>
      <c r="J982" s="574"/>
      <c r="K982" s="575"/>
      <c r="L982" s="157"/>
    </row>
    <row r="983" spans="2:12" s="78" customFormat="1" ht="12.75" customHeight="1" x14ac:dyDescent="0.2">
      <c r="B983" s="155"/>
      <c r="C983" s="158"/>
      <c r="D983" s="97"/>
      <c r="E983" s="97"/>
      <c r="F983" s="97"/>
      <c r="G983" s="97"/>
      <c r="H983" s="97"/>
      <c r="I983" s="97"/>
      <c r="J983" s="97"/>
      <c r="K983" s="97"/>
      <c r="L983" s="157"/>
    </row>
    <row r="984" spans="2:12" s="80" customFormat="1" ht="15" customHeight="1" x14ac:dyDescent="0.2">
      <c r="B984" s="152"/>
      <c r="C984" s="153"/>
      <c r="D984" s="160" t="s">
        <v>207</v>
      </c>
      <c r="E984" s="160" t="s">
        <v>208</v>
      </c>
      <c r="F984" s="160" t="s">
        <v>27</v>
      </c>
      <c r="G984" s="95"/>
      <c r="H984" s="160" t="s">
        <v>207</v>
      </c>
      <c r="I984" s="160" t="s">
        <v>208</v>
      </c>
      <c r="J984" s="160" t="s">
        <v>27</v>
      </c>
      <c r="K984" s="95"/>
      <c r="L984" s="154"/>
    </row>
    <row r="985" spans="2:12" s="78" customFormat="1" ht="15" customHeight="1" x14ac:dyDescent="0.2">
      <c r="B985" s="155"/>
      <c r="C985" s="156" t="s">
        <v>206</v>
      </c>
      <c r="D985" s="260"/>
      <c r="E985" s="261"/>
      <c r="F985" s="260"/>
      <c r="G985" s="97"/>
      <c r="H985" s="260"/>
      <c r="I985" s="261"/>
      <c r="J985" s="260"/>
      <c r="K985" s="97"/>
      <c r="L985" s="157"/>
    </row>
    <row r="986" spans="2:12" s="78" customFormat="1" ht="15" customHeight="1" x14ac:dyDescent="0.2">
      <c r="B986" s="155"/>
      <c r="C986" s="161"/>
      <c r="D986" s="162"/>
      <c r="E986" s="97"/>
      <c r="F986" s="97"/>
      <c r="G986" s="97"/>
      <c r="H986" s="162"/>
      <c r="I986" s="97"/>
      <c r="J986" s="97"/>
      <c r="K986" s="97"/>
      <c r="L986" s="157"/>
    </row>
    <row r="987" spans="2:12" s="78" customFormat="1" ht="12.75" customHeight="1" x14ac:dyDescent="0.2">
      <c r="B987" s="163"/>
      <c r="C987" s="164"/>
      <c r="D987" s="165"/>
      <c r="E987" s="165"/>
      <c r="F987" s="165"/>
      <c r="G987" s="165"/>
      <c r="H987" s="165"/>
      <c r="I987" s="165"/>
      <c r="J987" s="165"/>
      <c r="K987" s="165"/>
      <c r="L987" s="166"/>
    </row>
    <row r="989" spans="2:12" ht="18" customHeight="1" x14ac:dyDescent="0.2">
      <c r="D989" s="185"/>
    </row>
    <row r="990" spans="2:12" ht="18" customHeight="1" x14ac:dyDescent="0.2">
      <c r="D990" s="185"/>
    </row>
    <row r="991" spans="2:12" ht="18" customHeight="1" x14ac:dyDescent="0.2">
      <c r="D991" s="185"/>
    </row>
    <row r="992" spans="2:12" ht="18" customHeight="1" x14ac:dyDescent="0.2">
      <c r="D992" s="185"/>
    </row>
  </sheetData>
  <sheetProtection algorithmName="SHA-512" hashValue="LwBkFw2fdZikkcWbFYeP3y2SdRfW8PfFZGT6HDQpl73XpZ0qnecmpj8a3seSgRj+890SiUUGc2VcdcK7BDutew==" saltValue="KvYc7eswToUsc9lLWpOmIw==" spinCount="100000" sheet="1" selectLockedCells="1"/>
  <dataConsolidate/>
  <mergeCells count="530">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B848:D848"/>
    <mergeCell ref="B849:D849"/>
    <mergeCell ref="J845:L845"/>
    <mergeCell ref="J848:L848"/>
    <mergeCell ref="C918:J918"/>
    <mergeCell ref="C919:J919"/>
    <mergeCell ref="C920:J920"/>
    <mergeCell ref="C922:J922"/>
    <mergeCell ref="C925:L925"/>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F573:G573"/>
    <mergeCell ref="D583:E583"/>
    <mergeCell ref="F583:G583"/>
    <mergeCell ref="D588:E588"/>
    <mergeCell ref="F588:G588"/>
    <mergeCell ref="B586:C586"/>
    <mergeCell ref="B587:C587"/>
    <mergeCell ref="D587:E587"/>
    <mergeCell ref="F587:G587"/>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960:L960"/>
    <mergeCell ref="B961:L961"/>
    <mergeCell ref="B962:L962"/>
    <mergeCell ref="B963:L963"/>
    <mergeCell ref="B964:L964"/>
    <mergeCell ref="B970:L970"/>
    <mergeCell ref="B967:L967"/>
    <mergeCell ref="B965:L965"/>
    <mergeCell ref="B957:L958"/>
    <mergeCell ref="B959:L95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s>
  <phoneticPr fontId="3" type="noConversion"/>
  <conditionalFormatting sqref="L29 L26 L23 L20">
    <cfRule type="cellIs" dxfId="55" priority="132" stopIfTrue="1" operator="equal">
      <formula>0</formula>
    </cfRule>
  </conditionalFormatting>
  <conditionalFormatting sqref="L11 L15">
    <cfRule type="expression" dxfId="54" priority="143" stopIfTrue="1">
      <formula>ISERROR(L11)</formula>
    </cfRule>
  </conditionalFormatting>
  <conditionalFormatting sqref="K3">
    <cfRule type="cellIs" dxfId="53" priority="82" operator="equal">
      <formula>""</formula>
    </cfRule>
  </conditionalFormatting>
  <conditionalFormatting sqref="D11:K11">
    <cfRule type="cellIs" dxfId="52" priority="81" operator="equal">
      <formula>""</formula>
    </cfRule>
  </conditionalFormatting>
  <conditionalFormatting sqref="D15:K15">
    <cfRule type="cellIs" dxfId="51" priority="80" operator="equal">
      <formula>""</formula>
    </cfRule>
  </conditionalFormatting>
  <conditionalFormatting sqref="D20:K20">
    <cfRule type="cellIs" dxfId="50" priority="79" operator="equal">
      <formula>""</formula>
    </cfRule>
  </conditionalFormatting>
  <conditionalFormatting sqref="K694">
    <cfRule type="cellIs" dxfId="49" priority="78" operator="greaterThan">
      <formula>$K$695</formula>
    </cfRule>
  </conditionalFormatting>
  <conditionalFormatting sqref="K690">
    <cfRule type="cellIs" dxfId="48" priority="77" operator="notBetween">
      <formula>$K$696</formula>
      <formula>$K$697</formula>
    </cfRule>
  </conditionalFormatting>
  <conditionalFormatting sqref="K686">
    <cfRule type="cellIs" dxfId="47" priority="76" operator="greaterThan">
      <formula>$K$698</formula>
    </cfRule>
  </conditionalFormatting>
  <conditionalFormatting sqref="K693">
    <cfRule type="cellIs" dxfId="46" priority="75" operator="greaterThan">
      <formula>0.15</formula>
    </cfRule>
  </conditionalFormatting>
  <conditionalFormatting sqref="D66:K67">
    <cfRule type="cellIs" dxfId="45" priority="74" operator="equal">
      <formula>""</formula>
    </cfRule>
  </conditionalFormatting>
  <conditionalFormatting sqref="C218:K218">
    <cfRule type="cellIs" dxfId="44" priority="71" operator="equal">
      <formula>""</formula>
    </cfRule>
  </conditionalFormatting>
  <conditionalFormatting sqref="C221:G221">
    <cfRule type="expression" dxfId="43" priority="70">
      <formula>AND($C218&lt;&gt;"",$C221="")</formula>
    </cfRule>
  </conditionalFormatting>
  <conditionalFormatting sqref="N23">
    <cfRule type="expression" dxfId="42" priority="61">
      <formula>COUNTIF($D$20,$D$20:$K$29)&gt;1</formula>
    </cfRule>
  </conditionalFormatting>
  <conditionalFormatting sqref="N20">
    <cfRule type="expression" dxfId="41" priority="58">
      <formula>COUNTIF($D$20,$D$20:$K$29)&gt;1</formula>
    </cfRule>
  </conditionalFormatting>
  <conditionalFormatting sqref="N26">
    <cfRule type="expression" dxfId="40" priority="57">
      <formula>COUNTIF($D$20,$D$20:$K$29)&gt;1</formula>
    </cfRule>
  </conditionalFormatting>
  <conditionalFormatting sqref="N29">
    <cfRule type="expression" dxfId="39" priority="56">
      <formula>COUNTIF($D$20,$D$20:$K$29)&gt;1</formula>
    </cfRule>
  </conditionalFormatting>
  <conditionalFormatting sqref="F47:K47">
    <cfRule type="expression" dxfId="38" priority="55">
      <formula>AND(region_seat="",district_seat&lt;&gt;"")</formula>
    </cfRule>
  </conditionalFormatting>
  <conditionalFormatting sqref="F35:K35">
    <cfRule type="expression" dxfId="37" priority="54">
      <formula>AND(region="",district&lt;&gt;"")</formula>
    </cfRule>
  </conditionalFormatting>
  <conditionalFormatting sqref="C273:G273">
    <cfRule type="expression" dxfId="36" priority="48">
      <formula>AND(LEN($C$247)&gt;0,COUNTIF($D$20:$D$29,output_relates_activity2)=0)</formula>
    </cfRule>
    <cfRule type="expression" dxfId="35" priority="49">
      <formula>AND($C270&lt;&gt;"",$C273="")</formula>
    </cfRule>
  </conditionalFormatting>
  <conditionalFormatting sqref="F687">
    <cfRule type="expression" dxfId="34" priority="34">
      <formula>AND(sector=nonprofit_sector_verification_title,sector_specified&lt;&gt;churches_verification_title)</formula>
    </cfRule>
  </conditionalFormatting>
  <conditionalFormatting sqref="G73:K73">
    <cfRule type="cellIs" dxfId="33" priority="27" operator="equal">
      <formula>""</formula>
    </cfRule>
  </conditionalFormatting>
  <conditionalFormatting sqref="D590:E590">
    <cfRule type="expression" dxfId="32" priority="26">
      <formula>$D$566=""</formula>
    </cfRule>
  </conditionalFormatting>
  <conditionalFormatting sqref="D591:E591">
    <cfRule type="expression" dxfId="31" priority="25">
      <formula>$D$566=""</formula>
    </cfRule>
  </conditionalFormatting>
  <conditionalFormatting sqref="F590:G590">
    <cfRule type="expression" dxfId="30" priority="24">
      <formula>$F$566=""</formula>
    </cfRule>
  </conditionalFormatting>
  <conditionalFormatting sqref="F591:G591">
    <cfRule type="expression" dxfId="29" priority="23">
      <formula>$F$566=""</formula>
    </cfRule>
  </conditionalFormatting>
  <conditionalFormatting sqref="H590:I590">
    <cfRule type="expression" dxfId="28" priority="22">
      <formula>$H$566=""</formula>
    </cfRule>
  </conditionalFormatting>
  <conditionalFormatting sqref="H591:I591">
    <cfRule type="expression" dxfId="27" priority="21">
      <formula>$H$566=""</formula>
    </cfRule>
  </conditionalFormatting>
  <conditionalFormatting sqref="J590:K590">
    <cfRule type="expression" dxfId="26" priority="20">
      <formula>$J$566=""</formula>
    </cfRule>
  </conditionalFormatting>
  <conditionalFormatting sqref="J591:K591">
    <cfRule type="expression" dxfId="25" priority="19">
      <formula>$J$566=""</formula>
    </cfRule>
  </conditionalFormatting>
  <conditionalFormatting sqref="D592:E592">
    <cfRule type="expression" dxfId="24" priority="18">
      <formula>AND(grant_requested_partner1&gt;0,$D$592="")</formula>
    </cfRule>
  </conditionalFormatting>
  <conditionalFormatting sqref="F592:G592">
    <cfRule type="expression" dxfId="23" priority="17">
      <formula>AND(grant_requested_partner2&gt;0,$F$592="")</formula>
    </cfRule>
  </conditionalFormatting>
  <conditionalFormatting sqref="H592:I592">
    <cfRule type="expression" dxfId="22" priority="16">
      <formula>AND(grant_requested_partner3&gt;0,$H$592="")</formula>
    </cfRule>
  </conditionalFormatting>
  <conditionalFormatting sqref="J592:K592">
    <cfRule type="expression" dxfId="21" priority="15">
      <formula>AND(grant_requested_partner4&gt;0,$J$592="")</formula>
    </cfRule>
  </conditionalFormatting>
  <conditionalFormatting sqref="G687">
    <cfRule type="expression" dxfId="20" priority="13">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9" priority="11">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8" priority="10">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17" priority="9">
      <formula>AND(sector=nonprofit_sector_verification_title,sector_specified&lt;&gt;churches_verification_title,partner4_sector=nonprofit_sector_verification_title,partner4_sector_specified&lt;&gt;churches_verification_title,INT(I687)=I687)</formula>
    </cfRule>
  </conditionalFormatting>
  <conditionalFormatting sqref="D23:K23">
    <cfRule type="cellIs" dxfId="16" priority="8" operator="equal">
      <formula>""</formula>
    </cfRule>
  </conditionalFormatting>
  <conditionalFormatting sqref="C247:G247">
    <cfRule type="expression" dxfId="15" priority="7">
      <formula>AND($C244&lt;&gt;"",$C247="")</formula>
    </cfRule>
  </conditionalFormatting>
  <conditionalFormatting sqref="C275:G275">
    <cfRule type="expression" dxfId="14" priority="6">
      <formula>AND($C272&lt;&gt;"",$C275="")</formula>
    </cfRule>
  </conditionalFormatting>
  <conditionalFormatting sqref="C301:G301">
    <cfRule type="expression" dxfId="13" priority="5">
      <formula>AND($C298&lt;&gt;"",$C301="")</formula>
    </cfRule>
  </conditionalFormatting>
  <conditionalFormatting sqref="C330:G330">
    <cfRule type="expression" dxfId="12" priority="4">
      <formula>AND($C327&lt;&gt;"",$C330="")</formula>
    </cfRule>
  </conditionalFormatting>
  <conditionalFormatting sqref="C356:G356">
    <cfRule type="expression" dxfId="11" priority="3">
      <formula>AND($C353&lt;&gt;"",$C356="")</formula>
    </cfRule>
  </conditionalFormatting>
  <conditionalFormatting sqref="C385:G385">
    <cfRule type="expression" dxfId="10" priority="2">
      <formula>AND($C382&lt;&gt;"",$C385="")</formula>
    </cfRule>
  </conditionalFormatting>
  <conditionalFormatting sqref="C411:G411">
    <cfRule type="expression" dxfId="9" priority="1">
      <formula>AND($C408&lt;&gt;"",$C411="")</formula>
    </cfRule>
  </conditionalFormatting>
  <dataValidations count="101">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D590:K591 L947:L954 K915:L923">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C453 D438:D444 D447: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formula1>INDIRECT(VLOOKUP(programme_outcome,outcomes_table,2,FALSE))</formula1>
    </dataValidation>
    <dataValidation type="list" allowBlank="1"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 type="whole" operator="greaterThanOrEqual" allowBlank="1" showInputMessage="1" showErrorMessage="1" errorTitle="Nesprávne zadanie/Invalid Entry" error="Only integers allowed. _x000a_Povolené sú len celé čísla. " sqref="H443:H445 H447:H448 H470:H476">
      <formula1>0</formula1>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9">
      <formula1>1</formula1>
      <formula2>7</formula2>
    </dataValidation>
    <dataValidation type="whole" allowBlank="1" showInputMessage="1" showErrorMessage="1" errorTitle="Nesprávne zadanie/Invalid Entry" error="Only integers allowed. The minimum value is 0._x000a_Povolené sú len celé čísla. Minimálna hodnota je 0._x000a_The maximum value is 1. Maximálna hodnota je 1." sqref="H462">
      <formula1>0</formula1>
      <formula2>1</formula2>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8">
      <formula1>1</formula1>
      <formula2>7</formula2>
    </dataValidation>
    <dataValidation type="whole" allowBlank="1" showInputMessage="1" showErrorMessage="1" errorTitle="Nesprávne zadanie/Invalid Entry" error="Only integers allowed. _x000a_Povolené sú len celé čísla. " sqref="G485:G486">
      <formula1>0</formula1>
      <formula2>100000000</formula2>
    </dataValidation>
    <dataValidation type="whole" allowBlank="1" showInputMessage="1" showErrorMessage="1" errorTitle="Nesprávne zadanie/Invalid Entry" error="Only integers allowed. _x000a_Povolené sú len celé čísla. " sqref="H485">
      <formula1>2</formula1>
      <formula2>5</formula2>
    </dataValidation>
    <dataValidation type="whole" allowBlank="1" showInputMessage="1" showErrorMessage="1" errorTitle="Nesprávne zadanie/Invalid Entry" error="Only integers allowed. _x000a_Povolené sú len celé čísla. " sqref="H486">
      <formula1>0</formula1>
      <formula2>100</formula2>
    </dataValidation>
    <dataValidation type="whole" allowBlank="1" showInputMessage="1" showErrorMessage="1" errorTitle="Nesprávne zadanie/Invalid Entry" error="The minimum target value is one awareness-raising campaign and one educational campaign._x000a_Minimálne cieľová hodnota je jedna vzdelávacia kampaň a jedna kampaň na budovanie povedomia." sqref="H440">
      <formula1>2</formula1>
      <formula2>100000000</formula2>
    </dataValidation>
    <dataValidation type="decimal" allowBlank="1" showInputMessage="1" showErrorMessage="1" errorTitle="Nesprávne zadanie/Invalid Entry" error="Values must be in the range from 0 to 100%._x000a_Hodnoty môžu byť len v rozsahu od 0 do 100%." sqref="H461 G439:H439">
      <formula1>0</formula1>
      <formula2>1</formula2>
    </dataValidation>
    <dataValidation type="whole" allowBlank="1" showInputMessage="1" showErrorMessage="1" errorTitle="Nesprávne zadanie/Invalid Entry" error="Only integers allowed. _x000a_Povolené sú len celé čísla. " sqref="H460 H463">
      <formula1>0</formula1>
      <formula2>10000000</formula2>
    </dataValidation>
    <dataValidation type="whole" allowBlank="1" showInputMessage="1" showErrorMessage="1" errorTitle="Nesprávne zadanie/Invalid Entry" error="Only integers allowed. _x000a_Povolené sú len celé čísla. " sqref="G438:H438">
      <formula1>0</formula1>
      <formula2>100000</formula2>
    </dataValidation>
    <dataValidation allowBlank="1" showInputMessage="1" showErrorMessage="1" error="Zadáva sa len celé číslo." sqref="G440:G441"/>
    <dataValidation type="whole" allowBlank="1" showInputMessage="1" showErrorMessage="1" errorTitle="Nesprávne zadanie/Invalid Entry" error="At least one counselling centre shall be supported if a shelter is not supported in the project. Najmenej jedno  poradenské centrum musí byť podporené ak v projekte nie je podporený BŽD." sqref="H441">
      <formula1>0</formula1>
      <formula2>100000</formula2>
    </dataValidation>
    <dataValidation type="whole" allowBlank="1" showInputMessage="1" showErrorMessage="1" errorTitle="Nesprávne zadanie/Invalid Entry" error="At least 15 existing places shall be supported if a counselling centre is not supported in the project. Najmenej 15 existujúcich miest  musí byť podporených ak v projekte nie je podporené poradenské centrum." sqref="H442">
      <formula1>0</formula1>
      <formula2>100000</formula2>
    </dataValidation>
    <dataValidation type="whole" operator="greaterThanOrEqual" allowBlank="1" showInputMessage="1" showErrorMessage="1" errorTitle="Nesprávne zadanie/Invalid Entry" error="The minimum target value is the sum of all supported service providers involved in the project._x000a_Minimálna cieľová hodnota je súčtom všetkých podporených poskytovateľov služieb zapojených do projektu. " sqref="H446">
      <formula1>0</formula1>
    </dataValidation>
    <dataValidation type="whole" allowBlank="1" showInputMessage="1" showErrorMessage="1" errorTitle="Nesprávne zadanie/Invalid Entry" error="At least one counselling centre or shelter must be supported under the Project._x000a_V rámci projektu musí byť podporené najmenej jedno poradenské centrum alebo BŽD." sqref="H480">
      <formula1>1</formula1>
      <formula2>100000000</formula2>
    </dataValidation>
    <dataValidation type="whole" allowBlank="1" showInputMessage="1" showErrorMessage="1" errorTitle="Nesprávne zadanie/Invalid Entry" error="Only integers allowed!_x000a_Povolené sú len celé čísla!" sqref="H481:H483">
      <formula1>0</formula1>
      <formula2>100000000</formula2>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r:id="rId1"/>
  <headerFooter alignWithMargins="0">
    <oddHeader>&amp;L&amp;G&amp;C&amp;"Arial,Tučné"APPLICATION FORM</oddHeader>
    <oddFooter>&amp;CPage &amp;P/&amp;N&amp;R&amp;F</oddFooter>
  </headerFooter>
  <rowBreaks count="25" manualBreakCount="25">
    <brk id="62" max="11" man="1"/>
    <brk id="118" max="16383" man="1"/>
    <brk id="162"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ax="11" man="1"/>
    <brk id="802" max="16383" man="1"/>
    <brk id="841" max="11" man="1"/>
    <brk id="850" max="11" man="1"/>
    <brk id="869" max="16383" man="1"/>
    <brk id="911" max="16383" man="1"/>
    <brk id="942" max="16383" man="1"/>
    <brk id="955"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extLst>
    <ext xmlns:x14="http://schemas.microsoft.com/office/spreadsheetml/2009/9/main" uri="{CCE6A557-97BC-4b89-ADB6-D9C93CAAB3DF}">
      <x14:dataValidations xmlns:xm="http://schemas.microsoft.com/office/excel/2006/main" count="1">
        <x14:dataValidation type="list" showInputMessage="1" showErrorMessage="1">
          <x14:formula1>
            <xm:f>Lists!$AL$25:$AL$26</xm:f>
          </x14:formula1>
          <xm:sqref>C221:G221 C247:G247 C275:G275 C301:G301 C330:G330 C356:G356 C385:G385 C411:G411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B49" sqref="B49"/>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1" customWidth="1"/>
    <col min="11" max="11" width="31.5703125" style="193" customWidth="1"/>
    <col min="12" max="12" width="26.5703125" style="15" customWidth="1"/>
    <col min="13" max="13" width="9.42578125" style="15" bestFit="1" customWidth="1"/>
    <col min="14" max="16384" width="9.140625" style="15"/>
  </cols>
  <sheetData>
    <row r="1" spans="1:16" s="273" customFormat="1" ht="21" customHeight="1" x14ac:dyDescent="0.2">
      <c r="B1" s="279" t="s">
        <v>1376</v>
      </c>
      <c r="C1" s="278"/>
      <c r="D1" s="278"/>
      <c r="E1" s="278"/>
      <c r="F1" s="278"/>
      <c r="G1" s="278"/>
      <c r="H1" s="278"/>
      <c r="I1" s="278"/>
      <c r="J1" s="278"/>
      <c r="K1" s="278"/>
      <c r="L1" s="277"/>
      <c r="M1" s="277"/>
      <c r="N1" s="277"/>
      <c r="O1" s="277"/>
      <c r="P1" s="277"/>
    </row>
    <row r="2" spans="1:16" s="276" customFormat="1" ht="9.75" customHeight="1" x14ac:dyDescent="0.2">
      <c r="A2" s="344"/>
      <c r="B2" s="345" t="s">
        <v>1048</v>
      </c>
      <c r="C2" s="346">
        <f>applicant_name</f>
        <v>0</v>
      </c>
      <c r="D2" s="345"/>
      <c r="E2" s="345"/>
      <c r="F2" s="345"/>
      <c r="G2" s="347"/>
      <c r="H2" s="346"/>
      <c r="I2" s="346" t="s">
        <v>1377</v>
      </c>
      <c r="J2" s="348">
        <f>SUM(Amount_Column)</f>
        <v>0</v>
      </c>
      <c r="K2" s="355"/>
      <c r="L2" s="275"/>
      <c r="M2" s="275"/>
      <c r="N2" s="275"/>
      <c r="O2" s="275"/>
      <c r="P2" s="275"/>
    </row>
    <row r="3" spans="1:16" s="276" customFormat="1" ht="9.75" customHeight="1" x14ac:dyDescent="0.2">
      <c r="A3" s="349"/>
      <c r="B3" s="274" t="s">
        <v>1305</v>
      </c>
      <c r="C3" s="276">
        <f>partner1_name</f>
        <v>0</v>
      </c>
      <c r="D3" s="274"/>
      <c r="E3" s="274"/>
      <c r="F3" s="274"/>
      <c r="H3" s="275"/>
      <c r="I3" s="275" t="s">
        <v>1049</v>
      </c>
      <c r="J3" s="343">
        <f>amount_indirect_costs</f>
        <v>0</v>
      </c>
      <c r="K3" s="356"/>
      <c r="L3" s="275"/>
      <c r="M3" s="275"/>
      <c r="N3" s="275"/>
      <c r="O3" s="275"/>
      <c r="P3" s="275"/>
    </row>
    <row r="4" spans="1:16" s="276" customFormat="1" ht="9.75" customHeight="1" x14ac:dyDescent="0.2">
      <c r="A4" s="349"/>
      <c r="B4" s="274" t="s">
        <v>1304</v>
      </c>
      <c r="C4" s="276">
        <f>partner2_name</f>
        <v>0</v>
      </c>
      <c r="D4" s="274"/>
      <c r="E4" s="274"/>
      <c r="F4" s="274"/>
      <c r="H4" s="275"/>
      <c r="I4" s="275" t="s">
        <v>1050</v>
      </c>
      <c r="J4" s="343">
        <f>reserve_total</f>
        <v>0</v>
      </c>
      <c r="K4" s="356"/>
      <c r="L4" s="275"/>
      <c r="M4" s="275"/>
      <c r="N4" s="275"/>
      <c r="O4" s="275"/>
      <c r="P4" s="275"/>
    </row>
    <row r="5" spans="1:16" s="276" customFormat="1" ht="9.75" customHeight="1" x14ac:dyDescent="0.2">
      <c r="A5" s="349"/>
      <c r="B5" s="274" t="s">
        <v>1303</v>
      </c>
      <c r="C5" s="276">
        <f>partner3_name</f>
        <v>0</v>
      </c>
      <c r="D5" s="274"/>
      <c r="E5" s="274"/>
      <c r="F5" s="274"/>
      <c r="H5" s="275"/>
      <c r="I5" s="275" t="s">
        <v>1051</v>
      </c>
      <c r="J5" s="343">
        <f>in_kind_total</f>
        <v>0</v>
      </c>
      <c r="K5" s="356"/>
      <c r="L5" s="275"/>
      <c r="M5" s="275"/>
      <c r="N5" s="275"/>
      <c r="O5" s="275"/>
      <c r="P5" s="275"/>
    </row>
    <row r="6" spans="1:16" s="276" customFormat="1" ht="9.75" customHeight="1" x14ac:dyDescent="0.2">
      <c r="A6" s="350"/>
      <c r="B6" s="351" t="s">
        <v>1302</v>
      </c>
      <c r="C6" s="276">
        <f>partner4_name</f>
        <v>0</v>
      </c>
      <c r="D6" s="351"/>
      <c r="E6" s="351"/>
      <c r="F6" s="351"/>
      <c r="G6" s="353"/>
      <c r="H6" s="352"/>
      <c r="I6" s="352" t="s">
        <v>1052</v>
      </c>
      <c r="J6" s="354">
        <f>SUM(J2:J5)</f>
        <v>0</v>
      </c>
      <c r="K6" s="357"/>
      <c r="L6" s="275"/>
      <c r="M6" s="275"/>
      <c r="N6" s="275"/>
      <c r="O6" s="275"/>
      <c r="P6" s="275"/>
    </row>
    <row r="7" spans="1:16" s="276" customFormat="1" ht="15" customHeight="1" x14ac:dyDescent="0.2">
      <c r="C7" s="347"/>
      <c r="D7" s="274"/>
      <c r="E7" s="274"/>
      <c r="F7" s="274"/>
      <c r="H7" s="275"/>
      <c r="I7" s="275"/>
      <c r="J7" s="280"/>
      <c r="K7" s="275"/>
      <c r="L7" s="275"/>
      <c r="M7" s="275"/>
      <c r="N7" s="275"/>
      <c r="O7" s="275"/>
      <c r="P7" s="275"/>
    </row>
    <row r="8" spans="1:16" s="276" customFormat="1" ht="4.5" customHeight="1" x14ac:dyDescent="0.2">
      <c r="B8" s="274"/>
      <c r="C8" s="275"/>
      <c r="D8" s="274"/>
      <c r="E8" s="274"/>
      <c r="F8" s="274"/>
      <c r="H8" s="275"/>
      <c r="I8" s="275"/>
      <c r="J8" s="280"/>
      <c r="K8" s="275"/>
      <c r="L8" s="275"/>
      <c r="M8" s="275"/>
      <c r="N8" s="275"/>
      <c r="O8" s="275"/>
      <c r="P8" s="275"/>
    </row>
    <row r="9" spans="1:16" ht="22.5" x14ac:dyDescent="0.2">
      <c r="A9" s="192"/>
      <c r="B9" s="194" t="s">
        <v>441</v>
      </c>
      <c r="C9" s="195" t="s">
        <v>210</v>
      </c>
      <c r="D9" s="195" t="s">
        <v>442</v>
      </c>
      <c r="E9" s="195" t="s">
        <v>443</v>
      </c>
      <c r="F9" s="195" t="s">
        <v>444</v>
      </c>
      <c r="G9" s="195" t="s">
        <v>505</v>
      </c>
      <c r="H9" s="195" t="s">
        <v>445</v>
      </c>
      <c r="I9" s="195" t="s">
        <v>1353</v>
      </c>
      <c r="J9" s="195" t="s">
        <v>446</v>
      </c>
      <c r="K9" s="195" t="s">
        <v>447</v>
      </c>
      <c r="L9" s="443" t="s">
        <v>1301</v>
      </c>
    </row>
    <row r="10" spans="1:16" x14ac:dyDescent="0.2">
      <c r="A10" s="196">
        <v>1</v>
      </c>
      <c r="B10" s="282"/>
      <c r="C10" s="283"/>
      <c r="D10" s="283"/>
      <c r="E10" s="283"/>
      <c r="F10" s="342">
        <f t="shared" ref="F10:F73" si="0">D10*E10</f>
        <v>0</v>
      </c>
      <c r="G10" s="283"/>
      <c r="H10" s="282"/>
      <c r="I10" s="283"/>
      <c r="J10" s="283"/>
      <c r="K10" s="283"/>
      <c r="L10" s="15" t="str">
        <f t="shared" ref="L10:L41" si="1">IF(H10="","",IF(COUNTIF(list_of_activities_filtered,H10)=0,"Activity not defined!/Aktivita nie je definovaná",VLOOKUP(H10,list_of_activities_table,2,FALSE)))</f>
        <v/>
      </c>
    </row>
    <row r="11" spans="1:16" x14ac:dyDescent="0.2">
      <c r="A11" s="196">
        <v>2</v>
      </c>
      <c r="B11" s="282"/>
      <c r="C11" s="283"/>
      <c r="D11" s="283"/>
      <c r="E11" s="283"/>
      <c r="F11" s="342">
        <f t="shared" si="0"/>
        <v>0</v>
      </c>
      <c r="G11" s="283"/>
      <c r="H11" s="282"/>
      <c r="I11" s="283"/>
      <c r="J11" s="283"/>
      <c r="K11" s="283"/>
      <c r="L11" s="15" t="str">
        <f t="shared" si="1"/>
        <v/>
      </c>
    </row>
    <row r="12" spans="1:16" x14ac:dyDescent="0.2">
      <c r="A12" s="196">
        <v>3</v>
      </c>
      <c r="B12" s="282"/>
      <c r="C12" s="283"/>
      <c r="D12" s="283"/>
      <c r="E12" s="283"/>
      <c r="F12" s="342">
        <f t="shared" si="0"/>
        <v>0</v>
      </c>
      <c r="G12" s="283"/>
      <c r="H12" s="282"/>
      <c r="I12" s="283"/>
      <c r="J12" s="283"/>
      <c r="K12" s="283"/>
      <c r="L12" s="15" t="str">
        <f t="shared" si="1"/>
        <v/>
      </c>
    </row>
    <row r="13" spans="1:16" x14ac:dyDescent="0.2">
      <c r="A13" s="196">
        <v>4</v>
      </c>
      <c r="B13" s="282"/>
      <c r="C13" s="283"/>
      <c r="D13" s="283"/>
      <c r="E13" s="283"/>
      <c r="F13" s="342">
        <f t="shared" si="0"/>
        <v>0</v>
      </c>
      <c r="G13" s="283"/>
      <c r="H13" s="282"/>
      <c r="I13" s="283"/>
      <c r="J13" s="283"/>
      <c r="K13" s="283"/>
      <c r="L13" s="15" t="str">
        <f t="shared" si="1"/>
        <v/>
      </c>
    </row>
    <row r="14" spans="1:16" x14ac:dyDescent="0.2">
      <c r="A14" s="196">
        <v>5</v>
      </c>
      <c r="B14" s="282"/>
      <c r="C14" s="283"/>
      <c r="D14" s="283"/>
      <c r="E14" s="283"/>
      <c r="F14" s="342">
        <f t="shared" si="0"/>
        <v>0</v>
      </c>
      <c r="G14" s="283"/>
      <c r="H14" s="282"/>
      <c r="I14" s="283"/>
      <c r="J14" s="283"/>
      <c r="K14" s="283"/>
      <c r="L14" s="15" t="str">
        <f t="shared" si="1"/>
        <v/>
      </c>
    </row>
    <row r="15" spans="1:16" x14ac:dyDescent="0.2">
      <c r="A15" s="196">
        <v>6</v>
      </c>
      <c r="B15" s="282"/>
      <c r="C15" s="283"/>
      <c r="D15" s="283"/>
      <c r="E15" s="283"/>
      <c r="F15" s="342">
        <f t="shared" si="0"/>
        <v>0</v>
      </c>
      <c r="G15" s="283"/>
      <c r="H15" s="282"/>
      <c r="I15" s="283"/>
      <c r="J15" s="283"/>
      <c r="K15" s="283"/>
      <c r="L15" s="15" t="str">
        <f t="shared" si="1"/>
        <v/>
      </c>
    </row>
    <row r="16" spans="1:16" x14ac:dyDescent="0.2">
      <c r="A16" s="196">
        <v>7</v>
      </c>
      <c r="B16" s="282"/>
      <c r="C16" s="283"/>
      <c r="D16" s="283"/>
      <c r="E16" s="283"/>
      <c r="F16" s="342">
        <f t="shared" si="0"/>
        <v>0</v>
      </c>
      <c r="G16" s="283"/>
      <c r="H16" s="282"/>
      <c r="I16" s="283"/>
      <c r="J16" s="283"/>
      <c r="K16" s="283"/>
      <c r="L16" s="15" t="str">
        <f t="shared" si="1"/>
        <v/>
      </c>
    </row>
    <row r="17" spans="1:12" x14ac:dyDescent="0.2">
      <c r="A17" s="196">
        <v>8</v>
      </c>
      <c r="B17" s="282"/>
      <c r="C17" s="283"/>
      <c r="D17" s="283"/>
      <c r="E17" s="283"/>
      <c r="F17" s="342">
        <f t="shared" si="0"/>
        <v>0</v>
      </c>
      <c r="G17" s="283"/>
      <c r="H17" s="282"/>
      <c r="I17" s="283"/>
      <c r="J17" s="283"/>
      <c r="K17" s="283"/>
      <c r="L17" s="15" t="str">
        <f t="shared" si="1"/>
        <v/>
      </c>
    </row>
    <row r="18" spans="1:12" x14ac:dyDescent="0.2">
      <c r="A18" s="196">
        <v>9</v>
      </c>
      <c r="B18" s="282"/>
      <c r="C18" s="283"/>
      <c r="D18" s="283"/>
      <c r="E18" s="283"/>
      <c r="F18" s="342">
        <f t="shared" si="0"/>
        <v>0</v>
      </c>
      <c r="G18" s="283"/>
      <c r="H18" s="282"/>
      <c r="I18" s="283"/>
      <c r="J18" s="283"/>
      <c r="K18" s="283"/>
      <c r="L18" s="15" t="str">
        <f t="shared" si="1"/>
        <v/>
      </c>
    </row>
    <row r="19" spans="1:12" x14ac:dyDescent="0.2">
      <c r="A19" s="196">
        <v>10</v>
      </c>
      <c r="B19" s="282"/>
      <c r="C19" s="283"/>
      <c r="D19" s="283"/>
      <c r="E19" s="283"/>
      <c r="F19" s="342">
        <f t="shared" si="0"/>
        <v>0</v>
      </c>
      <c r="G19" s="283"/>
      <c r="H19" s="282"/>
      <c r="I19" s="283"/>
      <c r="J19" s="283"/>
      <c r="K19" s="283"/>
      <c r="L19" s="15" t="str">
        <f t="shared" si="1"/>
        <v/>
      </c>
    </row>
    <row r="20" spans="1:12" x14ac:dyDescent="0.2">
      <c r="A20" s="196">
        <v>11</v>
      </c>
      <c r="B20" s="282"/>
      <c r="C20" s="283"/>
      <c r="D20" s="283"/>
      <c r="E20" s="283"/>
      <c r="F20" s="342">
        <f t="shared" si="0"/>
        <v>0</v>
      </c>
      <c r="G20" s="283"/>
      <c r="H20" s="282"/>
      <c r="I20" s="283"/>
      <c r="J20" s="283"/>
      <c r="K20" s="283"/>
      <c r="L20" s="15" t="str">
        <f t="shared" si="1"/>
        <v/>
      </c>
    </row>
    <row r="21" spans="1:12" x14ac:dyDescent="0.2">
      <c r="A21" s="196">
        <v>12</v>
      </c>
      <c r="B21" s="282"/>
      <c r="C21" s="283"/>
      <c r="D21" s="283"/>
      <c r="E21" s="283"/>
      <c r="F21" s="342">
        <f t="shared" si="0"/>
        <v>0</v>
      </c>
      <c r="G21" s="283"/>
      <c r="H21" s="282"/>
      <c r="I21" s="283"/>
      <c r="J21" s="283"/>
      <c r="K21" s="283"/>
      <c r="L21" s="15" t="str">
        <f t="shared" si="1"/>
        <v/>
      </c>
    </row>
    <row r="22" spans="1:12" x14ac:dyDescent="0.2">
      <c r="A22" s="196">
        <v>13</v>
      </c>
      <c r="B22" s="282"/>
      <c r="C22" s="283"/>
      <c r="D22" s="283"/>
      <c r="E22" s="283"/>
      <c r="F22" s="342">
        <f t="shared" si="0"/>
        <v>0</v>
      </c>
      <c r="G22" s="283"/>
      <c r="H22" s="282"/>
      <c r="I22" s="283"/>
      <c r="J22" s="283"/>
      <c r="K22" s="283"/>
      <c r="L22" s="15" t="str">
        <f t="shared" si="1"/>
        <v/>
      </c>
    </row>
    <row r="23" spans="1:12" x14ac:dyDescent="0.2">
      <c r="A23" s="196">
        <v>14</v>
      </c>
      <c r="B23" s="282"/>
      <c r="C23" s="283"/>
      <c r="D23" s="283"/>
      <c r="E23" s="283"/>
      <c r="F23" s="342">
        <f t="shared" si="0"/>
        <v>0</v>
      </c>
      <c r="G23" s="283"/>
      <c r="H23" s="282"/>
      <c r="I23" s="283"/>
      <c r="J23" s="283"/>
      <c r="K23" s="283"/>
      <c r="L23" s="15" t="str">
        <f t="shared" si="1"/>
        <v/>
      </c>
    </row>
    <row r="24" spans="1:12" x14ac:dyDescent="0.2">
      <c r="A24" s="196">
        <v>15</v>
      </c>
      <c r="B24" s="282"/>
      <c r="C24" s="283"/>
      <c r="D24" s="283"/>
      <c r="E24" s="283"/>
      <c r="F24" s="342">
        <f t="shared" si="0"/>
        <v>0</v>
      </c>
      <c r="G24" s="283"/>
      <c r="H24" s="282"/>
      <c r="I24" s="283"/>
      <c r="J24" s="283"/>
      <c r="K24" s="283"/>
      <c r="L24" s="15" t="str">
        <f t="shared" si="1"/>
        <v/>
      </c>
    </row>
    <row r="25" spans="1:12" x14ac:dyDescent="0.2">
      <c r="A25" s="196">
        <v>16</v>
      </c>
      <c r="B25" s="282"/>
      <c r="C25" s="283"/>
      <c r="D25" s="283"/>
      <c r="E25" s="283"/>
      <c r="F25" s="342">
        <f t="shared" si="0"/>
        <v>0</v>
      </c>
      <c r="G25" s="283"/>
      <c r="H25" s="282"/>
      <c r="I25" s="283"/>
      <c r="J25" s="283"/>
      <c r="K25" s="283"/>
      <c r="L25" s="15" t="str">
        <f t="shared" si="1"/>
        <v/>
      </c>
    </row>
    <row r="26" spans="1:12" x14ac:dyDescent="0.2">
      <c r="A26" s="196">
        <v>17</v>
      </c>
      <c r="B26" s="282"/>
      <c r="C26" s="283"/>
      <c r="D26" s="283"/>
      <c r="E26" s="283"/>
      <c r="F26" s="342">
        <f t="shared" si="0"/>
        <v>0</v>
      </c>
      <c r="G26" s="283"/>
      <c r="H26" s="282"/>
      <c r="I26" s="283"/>
      <c r="J26" s="283"/>
      <c r="K26" s="283"/>
      <c r="L26" s="15" t="str">
        <f t="shared" si="1"/>
        <v/>
      </c>
    </row>
    <row r="27" spans="1:12" x14ac:dyDescent="0.2">
      <c r="A27" s="196">
        <v>18</v>
      </c>
      <c r="B27" s="282"/>
      <c r="C27" s="283"/>
      <c r="D27" s="283"/>
      <c r="E27" s="283"/>
      <c r="F27" s="342">
        <f t="shared" si="0"/>
        <v>0</v>
      </c>
      <c r="G27" s="283"/>
      <c r="H27" s="282"/>
      <c r="I27" s="283"/>
      <c r="J27" s="283"/>
      <c r="K27" s="283"/>
      <c r="L27" s="15" t="str">
        <f t="shared" si="1"/>
        <v/>
      </c>
    </row>
    <row r="28" spans="1:12" x14ac:dyDescent="0.2">
      <c r="A28" s="196">
        <v>19</v>
      </c>
      <c r="B28" s="282"/>
      <c r="C28" s="283"/>
      <c r="D28" s="283"/>
      <c r="E28" s="283"/>
      <c r="F28" s="342">
        <f t="shared" si="0"/>
        <v>0</v>
      </c>
      <c r="G28" s="283"/>
      <c r="H28" s="282"/>
      <c r="I28" s="283"/>
      <c r="J28" s="283"/>
      <c r="K28" s="283"/>
      <c r="L28" s="15" t="str">
        <f t="shared" si="1"/>
        <v/>
      </c>
    </row>
    <row r="29" spans="1:12" x14ac:dyDescent="0.2">
      <c r="A29" s="196">
        <v>20</v>
      </c>
      <c r="B29" s="282"/>
      <c r="C29" s="283"/>
      <c r="D29" s="283"/>
      <c r="E29" s="283"/>
      <c r="F29" s="342">
        <f t="shared" si="0"/>
        <v>0</v>
      </c>
      <c r="G29" s="283"/>
      <c r="H29" s="282"/>
      <c r="I29" s="283"/>
      <c r="J29" s="283"/>
      <c r="K29" s="283"/>
      <c r="L29" s="15" t="str">
        <f t="shared" si="1"/>
        <v/>
      </c>
    </row>
    <row r="30" spans="1:12" x14ac:dyDescent="0.2">
      <c r="A30" s="196">
        <v>21</v>
      </c>
      <c r="B30" s="282"/>
      <c r="C30" s="283"/>
      <c r="D30" s="283"/>
      <c r="E30" s="283"/>
      <c r="F30" s="342">
        <f t="shared" si="0"/>
        <v>0</v>
      </c>
      <c r="G30" s="283"/>
      <c r="H30" s="282"/>
      <c r="I30" s="283"/>
      <c r="J30" s="283"/>
      <c r="K30" s="283"/>
      <c r="L30" s="15" t="str">
        <f t="shared" si="1"/>
        <v/>
      </c>
    </row>
    <row r="31" spans="1:12" x14ac:dyDescent="0.2">
      <c r="A31" s="196">
        <v>22</v>
      </c>
      <c r="B31" s="282"/>
      <c r="C31" s="283"/>
      <c r="D31" s="283"/>
      <c r="E31" s="283"/>
      <c r="F31" s="342">
        <f t="shared" si="0"/>
        <v>0</v>
      </c>
      <c r="G31" s="283"/>
      <c r="H31" s="282"/>
      <c r="I31" s="283"/>
      <c r="J31" s="283"/>
      <c r="K31" s="283"/>
      <c r="L31" s="15" t="str">
        <f t="shared" si="1"/>
        <v/>
      </c>
    </row>
    <row r="32" spans="1:12" x14ac:dyDescent="0.2">
      <c r="A32" s="196">
        <v>23</v>
      </c>
      <c r="B32" s="282"/>
      <c r="C32" s="283"/>
      <c r="D32" s="283"/>
      <c r="E32" s="283"/>
      <c r="F32" s="342">
        <f t="shared" si="0"/>
        <v>0</v>
      </c>
      <c r="G32" s="283"/>
      <c r="H32" s="282"/>
      <c r="I32" s="283"/>
      <c r="J32" s="283"/>
      <c r="K32" s="283"/>
      <c r="L32" s="15" t="str">
        <f t="shared" si="1"/>
        <v/>
      </c>
    </row>
    <row r="33" spans="1:12" x14ac:dyDescent="0.2">
      <c r="A33" s="196">
        <v>24</v>
      </c>
      <c r="B33" s="282"/>
      <c r="C33" s="283"/>
      <c r="D33" s="283"/>
      <c r="E33" s="283"/>
      <c r="F33" s="342">
        <f t="shared" si="0"/>
        <v>0</v>
      </c>
      <c r="G33" s="283"/>
      <c r="H33" s="282"/>
      <c r="I33" s="283"/>
      <c r="J33" s="283"/>
      <c r="K33" s="283"/>
      <c r="L33" s="15" t="str">
        <f t="shared" si="1"/>
        <v/>
      </c>
    </row>
    <row r="34" spans="1:12" x14ac:dyDescent="0.2">
      <c r="A34" s="196">
        <v>25</v>
      </c>
      <c r="B34" s="282"/>
      <c r="C34" s="283"/>
      <c r="D34" s="283"/>
      <c r="E34" s="283"/>
      <c r="F34" s="342">
        <f t="shared" si="0"/>
        <v>0</v>
      </c>
      <c r="G34" s="283"/>
      <c r="H34" s="282"/>
      <c r="I34" s="283"/>
      <c r="J34" s="283"/>
      <c r="K34" s="283"/>
      <c r="L34" s="15" t="str">
        <f t="shared" si="1"/>
        <v/>
      </c>
    </row>
    <row r="35" spans="1:12" x14ac:dyDescent="0.2">
      <c r="A35" s="196">
        <v>26</v>
      </c>
      <c r="B35" s="282"/>
      <c r="C35" s="283"/>
      <c r="D35" s="283"/>
      <c r="E35" s="283"/>
      <c r="F35" s="342">
        <f t="shared" si="0"/>
        <v>0</v>
      </c>
      <c r="G35" s="283"/>
      <c r="H35" s="282"/>
      <c r="I35" s="283"/>
      <c r="J35" s="283"/>
      <c r="K35" s="283"/>
      <c r="L35" s="15" t="str">
        <f t="shared" si="1"/>
        <v/>
      </c>
    </row>
    <row r="36" spans="1:12" x14ac:dyDescent="0.2">
      <c r="A36" s="196">
        <v>27</v>
      </c>
      <c r="B36" s="282"/>
      <c r="C36" s="283"/>
      <c r="D36" s="283"/>
      <c r="E36" s="283"/>
      <c r="F36" s="342">
        <f t="shared" si="0"/>
        <v>0</v>
      </c>
      <c r="G36" s="283"/>
      <c r="H36" s="282"/>
      <c r="I36" s="283"/>
      <c r="J36" s="283"/>
      <c r="K36" s="283"/>
      <c r="L36" s="15" t="str">
        <f t="shared" si="1"/>
        <v/>
      </c>
    </row>
    <row r="37" spans="1:12" x14ac:dyDescent="0.2">
      <c r="A37" s="196">
        <v>28</v>
      </c>
      <c r="B37" s="282"/>
      <c r="C37" s="283"/>
      <c r="D37" s="283"/>
      <c r="E37" s="283"/>
      <c r="F37" s="342">
        <f t="shared" si="0"/>
        <v>0</v>
      </c>
      <c r="G37" s="283"/>
      <c r="H37" s="282"/>
      <c r="I37" s="283"/>
      <c r="J37" s="283"/>
      <c r="K37" s="283"/>
      <c r="L37" s="15" t="str">
        <f t="shared" si="1"/>
        <v/>
      </c>
    </row>
    <row r="38" spans="1:12" x14ac:dyDescent="0.2">
      <c r="A38" s="196">
        <v>29</v>
      </c>
      <c r="B38" s="282"/>
      <c r="C38" s="283"/>
      <c r="D38" s="283"/>
      <c r="E38" s="283"/>
      <c r="F38" s="342">
        <f t="shared" si="0"/>
        <v>0</v>
      </c>
      <c r="G38" s="283"/>
      <c r="H38" s="282"/>
      <c r="I38" s="283"/>
      <c r="J38" s="283"/>
      <c r="K38" s="283"/>
      <c r="L38" s="15" t="str">
        <f t="shared" si="1"/>
        <v/>
      </c>
    </row>
    <row r="39" spans="1:12" x14ac:dyDescent="0.2">
      <c r="A39" s="196">
        <v>30</v>
      </c>
      <c r="B39" s="282"/>
      <c r="C39" s="283"/>
      <c r="D39" s="283"/>
      <c r="E39" s="283"/>
      <c r="F39" s="342">
        <f t="shared" si="0"/>
        <v>0</v>
      </c>
      <c r="G39" s="283"/>
      <c r="H39" s="282"/>
      <c r="I39" s="283"/>
      <c r="J39" s="283"/>
      <c r="K39" s="283"/>
      <c r="L39" s="15" t="str">
        <f t="shared" si="1"/>
        <v/>
      </c>
    </row>
    <row r="40" spans="1:12" x14ac:dyDescent="0.2">
      <c r="A40" s="196">
        <v>31</v>
      </c>
      <c r="B40" s="282"/>
      <c r="C40" s="283"/>
      <c r="D40" s="283"/>
      <c r="E40" s="283"/>
      <c r="F40" s="342">
        <f t="shared" si="0"/>
        <v>0</v>
      </c>
      <c r="G40" s="283"/>
      <c r="H40" s="282"/>
      <c r="I40" s="283"/>
      <c r="J40" s="283"/>
      <c r="K40" s="283"/>
      <c r="L40" s="15" t="str">
        <f t="shared" si="1"/>
        <v/>
      </c>
    </row>
    <row r="41" spans="1:12" x14ac:dyDescent="0.2">
      <c r="A41" s="196">
        <v>32</v>
      </c>
      <c r="B41" s="282"/>
      <c r="C41" s="283"/>
      <c r="D41" s="283"/>
      <c r="E41" s="283"/>
      <c r="F41" s="342">
        <f t="shared" si="0"/>
        <v>0</v>
      </c>
      <c r="G41" s="283"/>
      <c r="H41" s="282"/>
      <c r="I41" s="283"/>
      <c r="J41" s="283"/>
      <c r="K41" s="283"/>
      <c r="L41" s="15" t="str">
        <f t="shared" si="1"/>
        <v/>
      </c>
    </row>
    <row r="42" spans="1:12" x14ac:dyDescent="0.2">
      <c r="A42" s="196">
        <v>33</v>
      </c>
      <c r="B42" s="282"/>
      <c r="C42" s="283"/>
      <c r="D42" s="283"/>
      <c r="E42" s="283"/>
      <c r="F42" s="342">
        <f t="shared" si="0"/>
        <v>0</v>
      </c>
      <c r="G42" s="283"/>
      <c r="H42" s="282"/>
      <c r="I42" s="283"/>
      <c r="J42" s="283"/>
      <c r="K42" s="283"/>
      <c r="L42" s="15" t="str">
        <f t="shared" ref="L42:L73" si="2">IF(H42="","",IF(COUNTIF(list_of_activities_filtered,H42)=0,"Activity not defined!/Aktivita nie je definovaná",VLOOKUP(H42,list_of_activities_table,2,FALSE)))</f>
        <v/>
      </c>
    </row>
    <row r="43" spans="1:12" x14ac:dyDescent="0.2">
      <c r="A43" s="196">
        <v>34</v>
      </c>
      <c r="B43" s="282"/>
      <c r="C43" s="283"/>
      <c r="D43" s="283"/>
      <c r="E43" s="283"/>
      <c r="F43" s="342">
        <f t="shared" si="0"/>
        <v>0</v>
      </c>
      <c r="G43" s="283"/>
      <c r="H43" s="282"/>
      <c r="I43" s="283"/>
      <c r="J43" s="283"/>
      <c r="K43" s="283"/>
      <c r="L43" s="15" t="str">
        <f t="shared" si="2"/>
        <v/>
      </c>
    </row>
    <row r="44" spans="1:12" x14ac:dyDescent="0.2">
      <c r="A44" s="196">
        <v>35</v>
      </c>
      <c r="B44" s="282"/>
      <c r="C44" s="283"/>
      <c r="D44" s="283"/>
      <c r="E44" s="283"/>
      <c r="F44" s="342">
        <f t="shared" si="0"/>
        <v>0</v>
      </c>
      <c r="G44" s="283"/>
      <c r="H44" s="282"/>
      <c r="I44" s="283"/>
      <c r="J44" s="283"/>
      <c r="K44" s="283"/>
      <c r="L44" s="15" t="str">
        <f t="shared" si="2"/>
        <v/>
      </c>
    </row>
    <row r="45" spans="1:12" x14ac:dyDescent="0.2">
      <c r="A45" s="196">
        <v>36</v>
      </c>
      <c r="B45" s="282"/>
      <c r="C45" s="283"/>
      <c r="D45" s="283"/>
      <c r="E45" s="283"/>
      <c r="F45" s="342">
        <f t="shared" si="0"/>
        <v>0</v>
      </c>
      <c r="G45" s="283"/>
      <c r="H45" s="282"/>
      <c r="I45" s="283"/>
      <c r="J45" s="283"/>
      <c r="K45" s="283"/>
      <c r="L45" s="15" t="str">
        <f t="shared" si="2"/>
        <v/>
      </c>
    </row>
    <row r="46" spans="1:12" x14ac:dyDescent="0.2">
      <c r="A46" s="196">
        <v>37</v>
      </c>
      <c r="B46" s="282"/>
      <c r="C46" s="283"/>
      <c r="D46" s="283"/>
      <c r="E46" s="283"/>
      <c r="F46" s="342">
        <f t="shared" si="0"/>
        <v>0</v>
      </c>
      <c r="G46" s="283"/>
      <c r="H46" s="282"/>
      <c r="I46" s="283"/>
      <c r="J46" s="283"/>
      <c r="K46" s="283"/>
      <c r="L46" s="15" t="str">
        <f t="shared" si="2"/>
        <v/>
      </c>
    </row>
    <row r="47" spans="1:12" x14ac:dyDescent="0.2">
      <c r="A47" s="196">
        <v>38</v>
      </c>
      <c r="B47" s="282"/>
      <c r="C47" s="283"/>
      <c r="D47" s="283"/>
      <c r="E47" s="283"/>
      <c r="F47" s="342">
        <f t="shared" si="0"/>
        <v>0</v>
      </c>
      <c r="G47" s="283"/>
      <c r="H47" s="282"/>
      <c r="I47" s="283"/>
      <c r="J47" s="283"/>
      <c r="K47" s="283"/>
      <c r="L47" s="15" t="str">
        <f t="shared" si="2"/>
        <v/>
      </c>
    </row>
    <row r="48" spans="1:12" x14ac:dyDescent="0.2">
      <c r="A48" s="196">
        <v>39</v>
      </c>
      <c r="B48" s="282"/>
      <c r="C48" s="283"/>
      <c r="D48" s="283"/>
      <c r="E48" s="283"/>
      <c r="F48" s="342">
        <f t="shared" si="0"/>
        <v>0</v>
      </c>
      <c r="G48" s="283"/>
      <c r="H48" s="282"/>
      <c r="I48" s="283"/>
      <c r="J48" s="283"/>
      <c r="K48" s="283"/>
      <c r="L48" s="15" t="str">
        <f t="shared" si="2"/>
        <v/>
      </c>
    </row>
    <row r="49" spans="1:12" x14ac:dyDescent="0.2">
      <c r="A49" s="196">
        <v>40</v>
      </c>
      <c r="B49" s="282"/>
      <c r="C49" s="283"/>
      <c r="D49" s="283"/>
      <c r="E49" s="283"/>
      <c r="F49" s="342">
        <f t="shared" si="0"/>
        <v>0</v>
      </c>
      <c r="G49" s="283"/>
      <c r="H49" s="282"/>
      <c r="I49" s="283"/>
      <c r="J49" s="283"/>
      <c r="K49" s="283"/>
      <c r="L49" s="15" t="str">
        <f t="shared" si="2"/>
        <v/>
      </c>
    </row>
    <row r="50" spans="1:12" x14ac:dyDescent="0.2">
      <c r="A50" s="196">
        <v>41</v>
      </c>
      <c r="B50" s="282"/>
      <c r="C50" s="283"/>
      <c r="D50" s="283"/>
      <c r="E50" s="283"/>
      <c r="F50" s="342">
        <f t="shared" si="0"/>
        <v>0</v>
      </c>
      <c r="G50" s="283"/>
      <c r="H50" s="282"/>
      <c r="I50" s="283"/>
      <c r="J50" s="283"/>
      <c r="K50" s="283"/>
      <c r="L50" s="15" t="str">
        <f t="shared" si="2"/>
        <v/>
      </c>
    </row>
    <row r="51" spans="1:12" x14ac:dyDescent="0.2">
      <c r="A51" s="196">
        <v>42</v>
      </c>
      <c r="B51" s="282"/>
      <c r="C51" s="283"/>
      <c r="D51" s="283"/>
      <c r="E51" s="283"/>
      <c r="F51" s="342">
        <f t="shared" si="0"/>
        <v>0</v>
      </c>
      <c r="G51" s="283"/>
      <c r="H51" s="282"/>
      <c r="I51" s="283"/>
      <c r="J51" s="283"/>
      <c r="K51" s="283"/>
      <c r="L51" s="15" t="str">
        <f t="shared" si="2"/>
        <v/>
      </c>
    </row>
    <row r="52" spans="1:12" x14ac:dyDescent="0.2">
      <c r="A52" s="196">
        <v>43</v>
      </c>
      <c r="B52" s="282"/>
      <c r="C52" s="283"/>
      <c r="D52" s="283"/>
      <c r="E52" s="283"/>
      <c r="F52" s="342">
        <f t="shared" si="0"/>
        <v>0</v>
      </c>
      <c r="G52" s="283"/>
      <c r="H52" s="282"/>
      <c r="I52" s="283"/>
      <c r="J52" s="283"/>
      <c r="K52" s="283"/>
      <c r="L52" s="15" t="str">
        <f t="shared" si="2"/>
        <v/>
      </c>
    </row>
    <row r="53" spans="1:12" x14ac:dyDescent="0.2">
      <c r="A53" s="196">
        <v>44</v>
      </c>
      <c r="B53" s="282"/>
      <c r="C53" s="283"/>
      <c r="D53" s="283"/>
      <c r="E53" s="283"/>
      <c r="F53" s="342">
        <f t="shared" si="0"/>
        <v>0</v>
      </c>
      <c r="G53" s="283"/>
      <c r="H53" s="282"/>
      <c r="I53" s="283"/>
      <c r="J53" s="283"/>
      <c r="K53" s="283"/>
      <c r="L53" s="15" t="str">
        <f t="shared" si="2"/>
        <v/>
      </c>
    </row>
    <row r="54" spans="1:12" x14ac:dyDescent="0.2">
      <c r="A54" s="196">
        <v>45</v>
      </c>
      <c r="B54" s="282"/>
      <c r="C54" s="283"/>
      <c r="D54" s="283"/>
      <c r="E54" s="283"/>
      <c r="F54" s="342">
        <f t="shared" si="0"/>
        <v>0</v>
      </c>
      <c r="G54" s="283"/>
      <c r="H54" s="282"/>
      <c r="I54" s="283"/>
      <c r="J54" s="283"/>
      <c r="K54" s="283"/>
      <c r="L54" s="15" t="str">
        <f t="shared" si="2"/>
        <v/>
      </c>
    </row>
    <row r="55" spans="1:12" x14ac:dyDescent="0.2">
      <c r="A55" s="196">
        <v>46</v>
      </c>
      <c r="B55" s="282"/>
      <c r="C55" s="283"/>
      <c r="D55" s="283"/>
      <c r="E55" s="283"/>
      <c r="F55" s="342">
        <f t="shared" si="0"/>
        <v>0</v>
      </c>
      <c r="G55" s="283"/>
      <c r="H55" s="282"/>
      <c r="I55" s="283"/>
      <c r="J55" s="283"/>
      <c r="K55" s="283"/>
      <c r="L55" s="15" t="str">
        <f t="shared" si="2"/>
        <v/>
      </c>
    </row>
    <row r="56" spans="1:12" x14ac:dyDescent="0.2">
      <c r="A56" s="196">
        <v>47</v>
      </c>
      <c r="B56" s="282"/>
      <c r="C56" s="283"/>
      <c r="D56" s="283"/>
      <c r="E56" s="283"/>
      <c r="F56" s="342">
        <f t="shared" si="0"/>
        <v>0</v>
      </c>
      <c r="G56" s="283"/>
      <c r="H56" s="282"/>
      <c r="I56" s="283"/>
      <c r="J56" s="283"/>
      <c r="K56" s="283"/>
      <c r="L56" s="15" t="str">
        <f t="shared" si="2"/>
        <v/>
      </c>
    </row>
    <row r="57" spans="1:12" x14ac:dyDescent="0.2">
      <c r="A57" s="196">
        <v>48</v>
      </c>
      <c r="B57" s="282"/>
      <c r="C57" s="283"/>
      <c r="D57" s="283"/>
      <c r="E57" s="283"/>
      <c r="F57" s="342">
        <f t="shared" si="0"/>
        <v>0</v>
      </c>
      <c r="G57" s="283"/>
      <c r="H57" s="282"/>
      <c r="I57" s="283"/>
      <c r="J57" s="283"/>
      <c r="K57" s="283"/>
      <c r="L57" s="15" t="str">
        <f t="shared" si="2"/>
        <v/>
      </c>
    </row>
    <row r="58" spans="1:12" x14ac:dyDescent="0.2">
      <c r="A58" s="196">
        <v>49</v>
      </c>
      <c r="B58" s="282"/>
      <c r="C58" s="283"/>
      <c r="D58" s="283"/>
      <c r="E58" s="283"/>
      <c r="F58" s="342">
        <f t="shared" si="0"/>
        <v>0</v>
      </c>
      <c r="G58" s="283"/>
      <c r="H58" s="282"/>
      <c r="I58" s="283"/>
      <c r="J58" s="283"/>
      <c r="K58" s="283"/>
      <c r="L58" s="15" t="str">
        <f t="shared" si="2"/>
        <v/>
      </c>
    </row>
    <row r="59" spans="1:12" x14ac:dyDescent="0.2">
      <c r="A59" s="196">
        <v>50</v>
      </c>
      <c r="B59" s="282"/>
      <c r="C59" s="283"/>
      <c r="D59" s="283"/>
      <c r="E59" s="283"/>
      <c r="F59" s="342">
        <f t="shared" si="0"/>
        <v>0</v>
      </c>
      <c r="G59" s="283"/>
      <c r="H59" s="282"/>
      <c r="I59" s="283"/>
      <c r="J59" s="283"/>
      <c r="K59" s="283"/>
      <c r="L59" s="15" t="str">
        <f t="shared" si="2"/>
        <v/>
      </c>
    </row>
    <row r="60" spans="1:12" x14ac:dyDescent="0.2">
      <c r="A60" s="196">
        <v>51</v>
      </c>
      <c r="B60" s="282"/>
      <c r="C60" s="283"/>
      <c r="D60" s="283"/>
      <c r="E60" s="283"/>
      <c r="F60" s="342">
        <f t="shared" si="0"/>
        <v>0</v>
      </c>
      <c r="G60" s="283"/>
      <c r="H60" s="282"/>
      <c r="I60" s="283"/>
      <c r="J60" s="283"/>
      <c r="K60" s="283"/>
      <c r="L60" s="15" t="str">
        <f t="shared" si="2"/>
        <v/>
      </c>
    </row>
    <row r="61" spans="1:12" x14ac:dyDescent="0.2">
      <c r="A61" s="196">
        <v>52</v>
      </c>
      <c r="B61" s="282"/>
      <c r="C61" s="283"/>
      <c r="D61" s="283"/>
      <c r="E61" s="283"/>
      <c r="F61" s="342">
        <f t="shared" si="0"/>
        <v>0</v>
      </c>
      <c r="G61" s="283"/>
      <c r="H61" s="282"/>
      <c r="I61" s="283"/>
      <c r="J61" s="283"/>
      <c r="K61" s="283"/>
      <c r="L61" s="15" t="str">
        <f t="shared" si="2"/>
        <v/>
      </c>
    </row>
    <row r="62" spans="1:12" x14ac:dyDescent="0.2">
      <c r="A62" s="196">
        <v>53</v>
      </c>
      <c r="B62" s="282"/>
      <c r="C62" s="283"/>
      <c r="D62" s="283"/>
      <c r="E62" s="283"/>
      <c r="F62" s="342">
        <f t="shared" si="0"/>
        <v>0</v>
      </c>
      <c r="G62" s="283"/>
      <c r="H62" s="282"/>
      <c r="I62" s="283"/>
      <c r="J62" s="283"/>
      <c r="K62" s="283"/>
      <c r="L62" s="15" t="str">
        <f t="shared" si="2"/>
        <v/>
      </c>
    </row>
    <row r="63" spans="1:12" x14ac:dyDescent="0.2">
      <c r="A63" s="196">
        <v>54</v>
      </c>
      <c r="B63" s="282"/>
      <c r="C63" s="283"/>
      <c r="D63" s="283"/>
      <c r="E63" s="283"/>
      <c r="F63" s="342">
        <f t="shared" si="0"/>
        <v>0</v>
      </c>
      <c r="G63" s="283"/>
      <c r="H63" s="282"/>
      <c r="I63" s="283"/>
      <c r="J63" s="283"/>
      <c r="K63" s="283"/>
      <c r="L63" s="15" t="str">
        <f t="shared" si="2"/>
        <v/>
      </c>
    </row>
    <row r="64" spans="1:12" x14ac:dyDescent="0.2">
      <c r="A64" s="196">
        <v>55</v>
      </c>
      <c r="B64" s="282"/>
      <c r="C64" s="283"/>
      <c r="D64" s="283"/>
      <c r="E64" s="283"/>
      <c r="F64" s="342">
        <f t="shared" si="0"/>
        <v>0</v>
      </c>
      <c r="G64" s="283"/>
      <c r="H64" s="282"/>
      <c r="I64" s="283"/>
      <c r="J64" s="283"/>
      <c r="K64" s="283"/>
      <c r="L64" s="15" t="str">
        <f t="shared" si="2"/>
        <v/>
      </c>
    </row>
    <row r="65" spans="1:12" x14ac:dyDescent="0.2">
      <c r="A65" s="196">
        <v>56</v>
      </c>
      <c r="B65" s="284"/>
      <c r="C65" s="284"/>
      <c r="D65" s="284"/>
      <c r="E65" s="284"/>
      <c r="F65" s="342">
        <f t="shared" si="0"/>
        <v>0</v>
      </c>
      <c r="G65" s="336"/>
      <c r="H65" s="284"/>
      <c r="I65" s="283"/>
      <c r="J65" s="283"/>
      <c r="K65" s="284"/>
      <c r="L65" s="15" t="str">
        <f t="shared" si="2"/>
        <v/>
      </c>
    </row>
    <row r="66" spans="1:12" x14ac:dyDescent="0.2">
      <c r="A66" s="196">
        <v>57</v>
      </c>
      <c r="B66" s="284"/>
      <c r="C66" s="284"/>
      <c r="D66" s="284"/>
      <c r="E66" s="284"/>
      <c r="F66" s="342">
        <f t="shared" si="0"/>
        <v>0</v>
      </c>
      <c r="G66" s="336"/>
      <c r="H66" s="284"/>
      <c r="I66" s="283"/>
      <c r="J66" s="283"/>
      <c r="K66" s="284"/>
      <c r="L66" s="15" t="str">
        <f t="shared" si="2"/>
        <v/>
      </c>
    </row>
    <row r="67" spans="1:12" x14ac:dyDescent="0.2">
      <c r="A67" s="196">
        <v>58</v>
      </c>
      <c r="B67" s="284"/>
      <c r="C67" s="284"/>
      <c r="D67" s="284"/>
      <c r="E67" s="284"/>
      <c r="F67" s="342">
        <f t="shared" si="0"/>
        <v>0</v>
      </c>
      <c r="G67" s="336"/>
      <c r="H67" s="284"/>
      <c r="I67" s="283"/>
      <c r="J67" s="283"/>
      <c r="K67" s="284"/>
      <c r="L67" s="15" t="str">
        <f t="shared" si="2"/>
        <v/>
      </c>
    </row>
    <row r="68" spans="1:12" x14ac:dyDescent="0.2">
      <c r="A68" s="196">
        <v>59</v>
      </c>
      <c r="B68" s="284"/>
      <c r="C68" s="284"/>
      <c r="D68" s="284"/>
      <c r="E68" s="284"/>
      <c r="F68" s="342">
        <f t="shared" si="0"/>
        <v>0</v>
      </c>
      <c r="G68" s="336"/>
      <c r="H68" s="284"/>
      <c r="I68" s="283"/>
      <c r="J68" s="283"/>
      <c r="K68" s="284"/>
      <c r="L68" s="15" t="str">
        <f t="shared" si="2"/>
        <v/>
      </c>
    </row>
    <row r="69" spans="1:12" x14ac:dyDescent="0.2">
      <c r="A69" s="196">
        <v>60</v>
      </c>
      <c r="B69" s="284"/>
      <c r="C69" s="284"/>
      <c r="D69" s="284"/>
      <c r="E69" s="284"/>
      <c r="F69" s="342">
        <f t="shared" si="0"/>
        <v>0</v>
      </c>
      <c r="G69" s="336"/>
      <c r="H69" s="284"/>
      <c r="I69" s="283"/>
      <c r="J69" s="283"/>
      <c r="K69" s="285"/>
      <c r="L69" s="15" t="str">
        <f t="shared" si="2"/>
        <v/>
      </c>
    </row>
    <row r="70" spans="1:12" x14ac:dyDescent="0.2">
      <c r="A70" s="196">
        <v>61</v>
      </c>
      <c r="B70" s="286"/>
      <c r="C70" s="286"/>
      <c r="D70" s="286"/>
      <c r="E70" s="286"/>
      <c r="F70" s="342">
        <f t="shared" si="0"/>
        <v>0</v>
      </c>
      <c r="G70" s="337"/>
      <c r="H70" s="286"/>
      <c r="I70" s="283"/>
      <c r="J70" s="283"/>
      <c r="K70" s="282"/>
      <c r="L70" s="15" t="str">
        <f t="shared" si="2"/>
        <v/>
      </c>
    </row>
    <row r="71" spans="1:12" x14ac:dyDescent="0.2">
      <c r="A71" s="196">
        <v>62</v>
      </c>
      <c r="B71" s="286"/>
      <c r="C71" s="286"/>
      <c r="D71" s="286"/>
      <c r="E71" s="286"/>
      <c r="F71" s="342">
        <f t="shared" si="0"/>
        <v>0</v>
      </c>
      <c r="G71" s="337"/>
      <c r="H71" s="286"/>
      <c r="I71" s="283"/>
      <c r="J71" s="283"/>
      <c r="K71" s="284"/>
      <c r="L71" s="15" t="str">
        <f t="shared" si="2"/>
        <v/>
      </c>
    </row>
    <row r="72" spans="1:12" x14ac:dyDescent="0.2">
      <c r="A72" s="196">
        <v>63</v>
      </c>
      <c r="B72" s="286"/>
      <c r="C72" s="286"/>
      <c r="D72" s="286"/>
      <c r="E72" s="286"/>
      <c r="F72" s="342">
        <f t="shared" si="0"/>
        <v>0</v>
      </c>
      <c r="G72" s="337"/>
      <c r="H72" s="286"/>
      <c r="I72" s="283"/>
      <c r="J72" s="283"/>
      <c r="K72" s="284"/>
      <c r="L72" s="15" t="str">
        <f t="shared" si="2"/>
        <v/>
      </c>
    </row>
    <row r="73" spans="1:12" x14ac:dyDescent="0.2">
      <c r="A73" s="196">
        <v>64</v>
      </c>
      <c r="B73" s="286"/>
      <c r="C73" s="286"/>
      <c r="D73" s="286"/>
      <c r="E73" s="286"/>
      <c r="F73" s="342">
        <f t="shared" si="0"/>
        <v>0</v>
      </c>
      <c r="G73" s="337"/>
      <c r="H73" s="286"/>
      <c r="I73" s="283"/>
      <c r="J73" s="283"/>
      <c r="K73" s="284"/>
      <c r="L73" s="15" t="str">
        <f t="shared" si="2"/>
        <v/>
      </c>
    </row>
    <row r="74" spans="1:12" x14ac:dyDescent="0.2">
      <c r="A74" s="196">
        <v>65</v>
      </c>
      <c r="B74" s="286"/>
      <c r="C74" s="286"/>
      <c r="D74" s="286"/>
      <c r="E74" s="286"/>
      <c r="F74" s="342">
        <f t="shared" ref="F74:F109" si="3">D74*E74</f>
        <v>0</v>
      </c>
      <c r="G74" s="337"/>
      <c r="H74" s="286"/>
      <c r="I74" s="283"/>
      <c r="J74" s="283"/>
      <c r="K74" s="286"/>
      <c r="L74" s="15" t="str">
        <f t="shared" ref="L74:L109" si="4">IF(H74="","",IF(COUNTIF(list_of_activities_filtered,H74)=0,"Activity not defined!/Aktivita nie je definovaná",VLOOKUP(H74,list_of_activities_table,2,FALSE)))</f>
        <v/>
      </c>
    </row>
    <row r="75" spans="1:12" x14ac:dyDescent="0.2">
      <c r="A75" s="196">
        <v>66</v>
      </c>
      <c r="B75" s="286"/>
      <c r="C75" s="286"/>
      <c r="D75" s="286"/>
      <c r="E75" s="286"/>
      <c r="F75" s="342">
        <f t="shared" si="3"/>
        <v>0</v>
      </c>
      <c r="G75" s="337"/>
      <c r="H75" s="286"/>
      <c r="I75" s="283"/>
      <c r="J75" s="283"/>
      <c r="K75" s="286"/>
      <c r="L75" s="15" t="str">
        <f t="shared" si="4"/>
        <v/>
      </c>
    </row>
    <row r="76" spans="1:12" x14ac:dyDescent="0.2">
      <c r="A76" s="196">
        <v>67</v>
      </c>
      <c r="B76" s="286"/>
      <c r="C76" s="286"/>
      <c r="D76" s="286"/>
      <c r="E76" s="286"/>
      <c r="F76" s="342">
        <f t="shared" si="3"/>
        <v>0</v>
      </c>
      <c r="G76" s="337"/>
      <c r="H76" s="286"/>
      <c r="I76" s="283"/>
      <c r="J76" s="283"/>
      <c r="K76" s="286"/>
      <c r="L76" s="15" t="str">
        <f t="shared" si="4"/>
        <v/>
      </c>
    </row>
    <row r="77" spans="1:12" x14ac:dyDescent="0.2">
      <c r="A77" s="196">
        <v>68</v>
      </c>
      <c r="B77" s="286"/>
      <c r="C77" s="286"/>
      <c r="D77" s="286"/>
      <c r="E77" s="286"/>
      <c r="F77" s="342">
        <f t="shared" si="3"/>
        <v>0</v>
      </c>
      <c r="G77" s="337"/>
      <c r="H77" s="286"/>
      <c r="I77" s="283"/>
      <c r="J77" s="283"/>
      <c r="K77" s="286"/>
      <c r="L77" s="15" t="str">
        <f t="shared" si="4"/>
        <v/>
      </c>
    </row>
    <row r="78" spans="1:12" x14ac:dyDescent="0.2">
      <c r="A78" s="196">
        <v>69</v>
      </c>
      <c r="B78" s="286"/>
      <c r="C78" s="286"/>
      <c r="D78" s="286"/>
      <c r="E78" s="286"/>
      <c r="F78" s="342">
        <f t="shared" si="3"/>
        <v>0</v>
      </c>
      <c r="G78" s="337"/>
      <c r="H78" s="286"/>
      <c r="I78" s="283"/>
      <c r="J78" s="283"/>
      <c r="K78" s="286"/>
      <c r="L78" s="15" t="str">
        <f t="shared" si="4"/>
        <v/>
      </c>
    </row>
    <row r="79" spans="1:12" x14ac:dyDescent="0.2">
      <c r="A79" s="196">
        <v>70</v>
      </c>
      <c r="B79" s="286"/>
      <c r="C79" s="286"/>
      <c r="D79" s="286"/>
      <c r="E79" s="286"/>
      <c r="F79" s="342">
        <f t="shared" si="3"/>
        <v>0</v>
      </c>
      <c r="G79" s="337"/>
      <c r="H79" s="286"/>
      <c r="I79" s="283"/>
      <c r="J79" s="283"/>
      <c r="K79" s="286"/>
      <c r="L79" s="15" t="str">
        <f t="shared" si="4"/>
        <v/>
      </c>
    </row>
    <row r="80" spans="1:12" x14ac:dyDescent="0.2">
      <c r="A80" s="196">
        <v>71</v>
      </c>
      <c r="B80" s="286"/>
      <c r="C80" s="286"/>
      <c r="D80" s="286"/>
      <c r="E80" s="286"/>
      <c r="F80" s="342">
        <f t="shared" si="3"/>
        <v>0</v>
      </c>
      <c r="G80" s="337"/>
      <c r="H80" s="286"/>
      <c r="I80" s="283"/>
      <c r="J80" s="283"/>
      <c r="K80" s="286"/>
      <c r="L80" s="15" t="str">
        <f t="shared" si="4"/>
        <v/>
      </c>
    </row>
    <row r="81" spans="1:12" x14ac:dyDescent="0.2">
      <c r="A81" s="196">
        <v>72</v>
      </c>
      <c r="B81" s="286"/>
      <c r="C81" s="286"/>
      <c r="D81" s="286"/>
      <c r="E81" s="286"/>
      <c r="F81" s="342">
        <f t="shared" si="3"/>
        <v>0</v>
      </c>
      <c r="G81" s="337"/>
      <c r="H81" s="286"/>
      <c r="I81" s="283"/>
      <c r="J81" s="283"/>
      <c r="K81" s="286"/>
      <c r="L81" s="15" t="str">
        <f t="shared" si="4"/>
        <v/>
      </c>
    </row>
    <row r="82" spans="1:12" x14ac:dyDescent="0.2">
      <c r="A82" s="196">
        <v>73</v>
      </c>
      <c r="B82" s="286"/>
      <c r="C82" s="286"/>
      <c r="D82" s="286"/>
      <c r="E82" s="286"/>
      <c r="F82" s="342">
        <f t="shared" si="3"/>
        <v>0</v>
      </c>
      <c r="G82" s="337"/>
      <c r="H82" s="286"/>
      <c r="I82" s="283"/>
      <c r="J82" s="283"/>
      <c r="K82" s="286"/>
      <c r="L82" s="15" t="str">
        <f t="shared" si="4"/>
        <v/>
      </c>
    </row>
    <row r="83" spans="1:12" x14ac:dyDescent="0.2">
      <c r="A83" s="196">
        <v>74</v>
      </c>
      <c r="B83" s="286"/>
      <c r="C83" s="286"/>
      <c r="D83" s="286"/>
      <c r="E83" s="286"/>
      <c r="F83" s="342">
        <f t="shared" si="3"/>
        <v>0</v>
      </c>
      <c r="G83" s="337"/>
      <c r="H83" s="286"/>
      <c r="I83" s="283"/>
      <c r="J83" s="283"/>
      <c r="K83" s="286"/>
      <c r="L83" s="15" t="str">
        <f t="shared" si="4"/>
        <v/>
      </c>
    </row>
    <row r="84" spans="1:12" x14ac:dyDescent="0.2">
      <c r="A84" s="196">
        <v>75</v>
      </c>
      <c r="B84" s="286"/>
      <c r="C84" s="286"/>
      <c r="D84" s="286"/>
      <c r="E84" s="286"/>
      <c r="F84" s="342">
        <f t="shared" si="3"/>
        <v>0</v>
      </c>
      <c r="G84" s="337"/>
      <c r="H84" s="286"/>
      <c r="I84" s="283"/>
      <c r="J84" s="283"/>
      <c r="K84" s="286"/>
      <c r="L84" s="15" t="str">
        <f t="shared" si="4"/>
        <v/>
      </c>
    </row>
    <row r="85" spans="1:12" x14ac:dyDescent="0.2">
      <c r="A85" s="196">
        <v>76</v>
      </c>
      <c r="B85" s="286"/>
      <c r="C85" s="286"/>
      <c r="D85" s="286"/>
      <c r="E85" s="286"/>
      <c r="F85" s="342">
        <f t="shared" si="3"/>
        <v>0</v>
      </c>
      <c r="G85" s="337"/>
      <c r="H85" s="286"/>
      <c r="I85" s="283"/>
      <c r="J85" s="283"/>
      <c r="K85" s="286"/>
      <c r="L85" s="15" t="str">
        <f t="shared" si="4"/>
        <v/>
      </c>
    </row>
    <row r="86" spans="1:12" x14ac:dyDescent="0.2">
      <c r="A86" s="196">
        <v>77</v>
      </c>
      <c r="B86" s="286"/>
      <c r="C86" s="286"/>
      <c r="D86" s="286"/>
      <c r="E86" s="286"/>
      <c r="F86" s="342">
        <f t="shared" si="3"/>
        <v>0</v>
      </c>
      <c r="G86" s="337"/>
      <c r="H86" s="286"/>
      <c r="I86" s="283"/>
      <c r="J86" s="283"/>
      <c r="K86" s="286"/>
      <c r="L86" s="15" t="str">
        <f t="shared" si="4"/>
        <v/>
      </c>
    </row>
    <row r="87" spans="1:12" x14ac:dyDescent="0.2">
      <c r="A87" s="196">
        <v>78</v>
      </c>
      <c r="B87" s="286"/>
      <c r="C87" s="286"/>
      <c r="D87" s="286"/>
      <c r="E87" s="286"/>
      <c r="F87" s="342">
        <f t="shared" si="3"/>
        <v>0</v>
      </c>
      <c r="G87" s="337"/>
      <c r="H87" s="286"/>
      <c r="I87" s="283"/>
      <c r="J87" s="283"/>
      <c r="K87" s="286"/>
      <c r="L87" s="15" t="str">
        <f t="shared" si="4"/>
        <v/>
      </c>
    </row>
    <row r="88" spans="1:12" x14ac:dyDescent="0.2">
      <c r="A88" s="196">
        <v>79</v>
      </c>
      <c r="B88" s="286"/>
      <c r="C88" s="286"/>
      <c r="D88" s="286"/>
      <c r="E88" s="286"/>
      <c r="F88" s="342">
        <f t="shared" si="3"/>
        <v>0</v>
      </c>
      <c r="G88" s="337"/>
      <c r="H88" s="286"/>
      <c r="I88" s="283"/>
      <c r="J88" s="283"/>
      <c r="K88" s="286"/>
      <c r="L88" s="15" t="str">
        <f t="shared" si="4"/>
        <v/>
      </c>
    </row>
    <row r="89" spans="1:12" x14ac:dyDescent="0.2">
      <c r="A89" s="196">
        <v>80</v>
      </c>
      <c r="B89" s="286"/>
      <c r="C89" s="286"/>
      <c r="D89" s="286"/>
      <c r="E89" s="286"/>
      <c r="F89" s="342">
        <f t="shared" si="3"/>
        <v>0</v>
      </c>
      <c r="G89" s="337"/>
      <c r="H89" s="286"/>
      <c r="I89" s="283"/>
      <c r="J89" s="283"/>
      <c r="K89" s="286"/>
      <c r="L89" s="15" t="str">
        <f t="shared" si="4"/>
        <v/>
      </c>
    </row>
    <row r="90" spans="1:12" x14ac:dyDescent="0.2">
      <c r="A90" s="196">
        <v>81</v>
      </c>
      <c r="B90" s="286"/>
      <c r="C90" s="286"/>
      <c r="D90" s="286"/>
      <c r="E90" s="286"/>
      <c r="F90" s="342">
        <f t="shared" si="3"/>
        <v>0</v>
      </c>
      <c r="G90" s="337"/>
      <c r="H90" s="286"/>
      <c r="I90" s="283"/>
      <c r="J90" s="283"/>
      <c r="K90" s="286"/>
      <c r="L90" s="15" t="str">
        <f t="shared" si="4"/>
        <v/>
      </c>
    </row>
    <row r="91" spans="1:12" x14ac:dyDescent="0.2">
      <c r="A91" s="196">
        <v>82</v>
      </c>
      <c r="B91" s="286"/>
      <c r="C91" s="286"/>
      <c r="D91" s="286"/>
      <c r="E91" s="286"/>
      <c r="F91" s="342">
        <f t="shared" si="3"/>
        <v>0</v>
      </c>
      <c r="G91" s="337"/>
      <c r="H91" s="286"/>
      <c r="I91" s="283"/>
      <c r="J91" s="283"/>
      <c r="K91" s="286"/>
      <c r="L91" s="15" t="str">
        <f t="shared" si="4"/>
        <v/>
      </c>
    </row>
    <row r="92" spans="1:12" x14ac:dyDescent="0.2">
      <c r="A92" s="196">
        <v>83</v>
      </c>
      <c r="B92" s="286"/>
      <c r="C92" s="286"/>
      <c r="D92" s="286"/>
      <c r="E92" s="286"/>
      <c r="F92" s="342">
        <f t="shared" si="3"/>
        <v>0</v>
      </c>
      <c r="G92" s="337"/>
      <c r="H92" s="286"/>
      <c r="I92" s="283"/>
      <c r="J92" s="283"/>
      <c r="K92" s="286"/>
      <c r="L92" s="15" t="str">
        <f t="shared" si="4"/>
        <v/>
      </c>
    </row>
    <row r="93" spans="1:12" x14ac:dyDescent="0.2">
      <c r="A93" s="196">
        <v>84</v>
      </c>
      <c r="B93" s="286"/>
      <c r="C93" s="286"/>
      <c r="D93" s="286"/>
      <c r="E93" s="286"/>
      <c r="F93" s="342">
        <f t="shared" si="3"/>
        <v>0</v>
      </c>
      <c r="G93" s="337"/>
      <c r="H93" s="286"/>
      <c r="I93" s="283"/>
      <c r="J93" s="283"/>
      <c r="K93" s="286"/>
      <c r="L93" s="15" t="str">
        <f t="shared" si="4"/>
        <v/>
      </c>
    </row>
    <row r="94" spans="1:12" x14ac:dyDescent="0.2">
      <c r="A94" s="196">
        <v>85</v>
      </c>
      <c r="B94" s="286"/>
      <c r="C94" s="286"/>
      <c r="D94" s="286"/>
      <c r="E94" s="286"/>
      <c r="F94" s="342">
        <f t="shared" si="3"/>
        <v>0</v>
      </c>
      <c r="G94" s="337"/>
      <c r="H94" s="286"/>
      <c r="I94" s="283"/>
      <c r="J94" s="283"/>
      <c r="K94" s="286"/>
      <c r="L94" s="15" t="str">
        <f t="shared" si="4"/>
        <v/>
      </c>
    </row>
    <row r="95" spans="1:12" x14ac:dyDescent="0.2">
      <c r="A95" s="196">
        <v>86</v>
      </c>
      <c r="B95" s="286"/>
      <c r="C95" s="286"/>
      <c r="D95" s="286"/>
      <c r="E95" s="286"/>
      <c r="F95" s="342">
        <f t="shared" si="3"/>
        <v>0</v>
      </c>
      <c r="G95" s="337"/>
      <c r="H95" s="286"/>
      <c r="I95" s="283"/>
      <c r="J95" s="283"/>
      <c r="K95" s="286"/>
      <c r="L95" s="15" t="str">
        <f t="shared" si="4"/>
        <v/>
      </c>
    </row>
    <row r="96" spans="1:12" x14ac:dyDescent="0.2">
      <c r="A96" s="196">
        <v>87</v>
      </c>
      <c r="B96" s="286"/>
      <c r="C96" s="286"/>
      <c r="D96" s="286"/>
      <c r="E96" s="286"/>
      <c r="F96" s="342">
        <f t="shared" si="3"/>
        <v>0</v>
      </c>
      <c r="G96" s="337"/>
      <c r="H96" s="286"/>
      <c r="I96" s="283"/>
      <c r="J96" s="283"/>
      <c r="K96" s="286"/>
      <c r="L96" s="15" t="str">
        <f t="shared" si="4"/>
        <v/>
      </c>
    </row>
    <row r="97" spans="1:12" x14ac:dyDescent="0.2">
      <c r="A97" s="196">
        <v>88</v>
      </c>
      <c r="B97" s="286"/>
      <c r="C97" s="286"/>
      <c r="D97" s="286"/>
      <c r="E97" s="286"/>
      <c r="F97" s="342">
        <f t="shared" si="3"/>
        <v>0</v>
      </c>
      <c r="G97" s="337"/>
      <c r="H97" s="286"/>
      <c r="I97" s="283"/>
      <c r="J97" s="283"/>
      <c r="K97" s="286"/>
      <c r="L97" s="15" t="str">
        <f t="shared" si="4"/>
        <v/>
      </c>
    </row>
    <row r="98" spans="1:12" x14ac:dyDescent="0.2">
      <c r="A98" s="196">
        <v>89</v>
      </c>
      <c r="B98" s="286"/>
      <c r="C98" s="286"/>
      <c r="D98" s="286"/>
      <c r="E98" s="286"/>
      <c r="F98" s="342">
        <f t="shared" si="3"/>
        <v>0</v>
      </c>
      <c r="G98" s="337"/>
      <c r="H98" s="286"/>
      <c r="I98" s="283"/>
      <c r="J98" s="283"/>
      <c r="K98" s="286"/>
      <c r="L98" s="15" t="str">
        <f t="shared" si="4"/>
        <v/>
      </c>
    </row>
    <row r="99" spans="1:12" x14ac:dyDescent="0.2">
      <c r="A99" s="196">
        <v>90</v>
      </c>
      <c r="B99" s="286"/>
      <c r="C99" s="286"/>
      <c r="D99" s="286"/>
      <c r="E99" s="286"/>
      <c r="F99" s="342">
        <f t="shared" si="3"/>
        <v>0</v>
      </c>
      <c r="G99" s="337"/>
      <c r="H99" s="286"/>
      <c r="I99" s="283"/>
      <c r="J99" s="283"/>
      <c r="K99" s="286"/>
      <c r="L99" s="15" t="str">
        <f t="shared" si="4"/>
        <v/>
      </c>
    </row>
    <row r="100" spans="1:12" x14ac:dyDescent="0.2">
      <c r="A100" s="196">
        <v>91</v>
      </c>
      <c r="B100" s="286"/>
      <c r="C100" s="286"/>
      <c r="D100" s="286"/>
      <c r="E100" s="286"/>
      <c r="F100" s="342">
        <f t="shared" si="3"/>
        <v>0</v>
      </c>
      <c r="G100" s="337"/>
      <c r="H100" s="286"/>
      <c r="I100" s="283"/>
      <c r="J100" s="283"/>
      <c r="K100" s="286"/>
      <c r="L100" s="15" t="str">
        <f t="shared" si="4"/>
        <v/>
      </c>
    </row>
    <row r="101" spans="1:12" x14ac:dyDescent="0.2">
      <c r="A101" s="196">
        <v>92</v>
      </c>
      <c r="B101" s="286"/>
      <c r="C101" s="286"/>
      <c r="D101" s="286"/>
      <c r="E101" s="286"/>
      <c r="F101" s="342">
        <f t="shared" si="3"/>
        <v>0</v>
      </c>
      <c r="G101" s="337"/>
      <c r="H101" s="286"/>
      <c r="I101" s="283"/>
      <c r="J101" s="283"/>
      <c r="K101" s="286"/>
      <c r="L101" s="15" t="str">
        <f t="shared" si="4"/>
        <v/>
      </c>
    </row>
    <row r="102" spans="1:12" x14ac:dyDescent="0.2">
      <c r="A102" s="196">
        <v>93</v>
      </c>
      <c r="B102" s="286"/>
      <c r="C102" s="286"/>
      <c r="D102" s="286"/>
      <c r="E102" s="286"/>
      <c r="F102" s="342">
        <f t="shared" si="3"/>
        <v>0</v>
      </c>
      <c r="G102" s="337"/>
      <c r="H102" s="286"/>
      <c r="I102" s="283"/>
      <c r="J102" s="283"/>
      <c r="K102" s="286"/>
      <c r="L102" s="15" t="str">
        <f t="shared" si="4"/>
        <v/>
      </c>
    </row>
    <row r="103" spans="1:12" x14ac:dyDescent="0.2">
      <c r="A103" s="196">
        <v>94</v>
      </c>
      <c r="B103" s="286"/>
      <c r="C103" s="286"/>
      <c r="D103" s="286"/>
      <c r="E103" s="286"/>
      <c r="F103" s="342">
        <f t="shared" si="3"/>
        <v>0</v>
      </c>
      <c r="G103" s="337"/>
      <c r="H103" s="286"/>
      <c r="I103" s="283"/>
      <c r="J103" s="283"/>
      <c r="K103" s="286"/>
      <c r="L103" s="15" t="str">
        <f t="shared" si="4"/>
        <v/>
      </c>
    </row>
    <row r="104" spans="1:12" x14ac:dyDescent="0.2">
      <c r="A104" s="196">
        <v>95</v>
      </c>
      <c r="B104" s="286"/>
      <c r="C104" s="286"/>
      <c r="D104" s="286"/>
      <c r="E104" s="286"/>
      <c r="F104" s="342">
        <f t="shared" si="3"/>
        <v>0</v>
      </c>
      <c r="G104" s="337"/>
      <c r="H104" s="286"/>
      <c r="I104" s="283"/>
      <c r="J104" s="283"/>
      <c r="K104" s="286"/>
      <c r="L104" s="15" t="str">
        <f t="shared" si="4"/>
        <v/>
      </c>
    </row>
    <row r="105" spans="1:12" x14ac:dyDescent="0.2">
      <c r="A105" s="196">
        <v>96</v>
      </c>
      <c r="B105" s="286"/>
      <c r="C105" s="286"/>
      <c r="D105" s="286"/>
      <c r="E105" s="286"/>
      <c r="F105" s="342">
        <f t="shared" si="3"/>
        <v>0</v>
      </c>
      <c r="G105" s="337"/>
      <c r="H105" s="286"/>
      <c r="I105" s="283"/>
      <c r="J105" s="283"/>
      <c r="K105" s="286"/>
      <c r="L105" s="15" t="str">
        <f t="shared" si="4"/>
        <v/>
      </c>
    </row>
    <row r="106" spans="1:12" x14ac:dyDescent="0.2">
      <c r="A106" s="196">
        <v>97</v>
      </c>
      <c r="B106" s="286"/>
      <c r="C106" s="286"/>
      <c r="D106" s="286"/>
      <c r="E106" s="286"/>
      <c r="F106" s="342">
        <f t="shared" si="3"/>
        <v>0</v>
      </c>
      <c r="G106" s="337"/>
      <c r="H106" s="286"/>
      <c r="I106" s="283"/>
      <c r="J106" s="283"/>
      <c r="K106" s="286"/>
      <c r="L106" s="15" t="str">
        <f t="shared" si="4"/>
        <v/>
      </c>
    </row>
    <row r="107" spans="1:12" x14ac:dyDescent="0.2">
      <c r="A107" s="196">
        <v>98</v>
      </c>
      <c r="B107" s="286"/>
      <c r="C107" s="286"/>
      <c r="D107" s="286"/>
      <c r="E107" s="286"/>
      <c r="F107" s="342">
        <f t="shared" si="3"/>
        <v>0</v>
      </c>
      <c r="G107" s="337"/>
      <c r="H107" s="286"/>
      <c r="I107" s="283"/>
      <c r="J107" s="283"/>
      <c r="K107" s="286"/>
      <c r="L107" s="15" t="str">
        <f t="shared" si="4"/>
        <v/>
      </c>
    </row>
    <row r="108" spans="1:12" x14ac:dyDescent="0.2">
      <c r="A108" s="196">
        <v>99</v>
      </c>
      <c r="B108" s="286"/>
      <c r="C108" s="286"/>
      <c r="D108" s="286"/>
      <c r="E108" s="286"/>
      <c r="F108" s="342">
        <f t="shared" si="3"/>
        <v>0</v>
      </c>
      <c r="G108" s="337"/>
      <c r="H108" s="286"/>
      <c r="I108" s="283"/>
      <c r="J108" s="283"/>
      <c r="K108" s="286"/>
      <c r="L108" s="15" t="str">
        <f t="shared" si="4"/>
        <v/>
      </c>
    </row>
    <row r="109" spans="1:12" x14ac:dyDescent="0.2">
      <c r="A109" s="196">
        <v>100</v>
      </c>
      <c r="B109" s="286"/>
      <c r="C109" s="286"/>
      <c r="D109" s="286"/>
      <c r="E109" s="286"/>
      <c r="F109" s="342">
        <f t="shared" si="3"/>
        <v>0</v>
      </c>
      <c r="G109" s="337"/>
      <c r="H109" s="286"/>
      <c r="I109" s="283"/>
      <c r="J109" s="283"/>
      <c r="K109" s="286"/>
      <c r="L109" s="15" t="str">
        <f t="shared" si="4"/>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topLeftCell="A49" zoomScale="115" zoomScaleNormal="100" zoomScaleSheetLayoutView="115" workbookViewId="0">
      <selection activeCell="D63" sqref="D63"/>
    </sheetView>
  </sheetViews>
  <sheetFormatPr defaultRowHeight="11.25" x14ac:dyDescent="0.2"/>
  <cols>
    <col min="1" max="1" width="29.42578125" style="303" customWidth="1"/>
    <col min="2" max="10" width="16.28515625" style="303" customWidth="1"/>
    <col min="11" max="12" width="18.7109375" style="303" customWidth="1"/>
    <col min="13" max="16384" width="9.140625" style="303"/>
  </cols>
  <sheetData>
    <row r="1" spans="1:16" s="291" customFormat="1" ht="28.5" customHeight="1" thickBot="1" x14ac:dyDescent="0.25">
      <c r="A1" s="287" t="s">
        <v>465</v>
      </c>
      <c r="B1" s="288"/>
      <c r="C1" s="289"/>
      <c r="D1" s="289"/>
      <c r="E1" s="289"/>
      <c r="F1" s="289"/>
      <c r="G1" s="289"/>
      <c r="H1" s="290" t="s">
        <v>466</v>
      </c>
      <c r="I1" s="290" t="s">
        <v>1060</v>
      </c>
      <c r="J1" s="218"/>
      <c r="K1" s="218"/>
      <c r="L1" s="219"/>
      <c r="M1" s="218"/>
      <c r="N1" s="218"/>
      <c r="O1" s="218"/>
      <c r="P1" s="218"/>
    </row>
    <row r="2" spans="1:16" s="291" customFormat="1" ht="28.5" customHeight="1" thickBot="1" x14ac:dyDescent="0.25">
      <c r="A2" s="292" t="s">
        <v>467</v>
      </c>
      <c r="B2" s="684" t="s">
        <v>467</v>
      </c>
      <c r="C2" s="685"/>
      <c r="D2" s="685"/>
      <c r="E2" s="685"/>
      <c r="F2" s="685"/>
      <c r="G2" s="686"/>
      <c r="H2" s="293">
        <f>SUMIF($F$13:$F$21,B2,$H$13:$H$21)</f>
        <v>0</v>
      </c>
      <c r="I2" s="358" t="e">
        <f>H2/H$10</f>
        <v>#DIV/0!</v>
      </c>
      <c r="J2" s="218"/>
      <c r="K2" s="218"/>
      <c r="L2" s="219"/>
      <c r="M2" s="218"/>
      <c r="N2" s="218"/>
      <c r="O2" s="218"/>
      <c r="P2" s="218"/>
    </row>
    <row r="3" spans="1:16" s="291" customFormat="1" ht="28.5" customHeight="1" thickBot="1" x14ac:dyDescent="0.25">
      <c r="A3" s="292" t="s">
        <v>468</v>
      </c>
      <c r="B3" s="687" t="str">
        <f>IF(ISBLANK(programme_output1),"",programme_output1)</f>
        <v>Services for victims of domestic and gender-based violence preserved</v>
      </c>
      <c r="C3" s="688"/>
      <c r="D3" s="688"/>
      <c r="E3" s="688"/>
      <c r="F3" s="688"/>
      <c r="G3" s="689"/>
      <c r="H3" s="293">
        <f t="shared" ref="H3:H5" si="0">SUMIF($F$13:$F$21,B3,$H$13:$H$21)</f>
        <v>0</v>
      </c>
      <c r="I3" s="358" t="e">
        <f t="shared" ref="I3:I5" si="1">H3/H$10</f>
        <v>#DIV/0!</v>
      </c>
      <c r="J3" s="218"/>
      <c r="K3" s="218"/>
      <c r="L3" s="219"/>
      <c r="M3" s="218"/>
      <c r="N3" s="218"/>
      <c r="O3" s="218"/>
      <c r="P3" s="218"/>
    </row>
    <row r="4" spans="1:16" s="291" customFormat="1" ht="28.5" customHeight="1" thickBot="1" x14ac:dyDescent="0.25">
      <c r="A4" s="292" t="s">
        <v>469</v>
      </c>
      <c r="B4" s="687" t="str">
        <f>IF(ISBLANK(programme_output2),"",programme_output2)</f>
        <v>Services for victims of domestic and gender-based expanded or enhanced</v>
      </c>
      <c r="C4" s="688"/>
      <c r="D4" s="688"/>
      <c r="E4" s="688"/>
      <c r="F4" s="688"/>
      <c r="G4" s="689"/>
      <c r="H4" s="293">
        <f t="shared" si="0"/>
        <v>0</v>
      </c>
      <c r="I4" s="358" t="e">
        <f t="shared" si="1"/>
        <v>#DIV/0!</v>
      </c>
      <c r="J4" s="218"/>
      <c r="K4" s="218"/>
      <c r="L4" s="219"/>
      <c r="M4" s="218"/>
      <c r="N4" s="218"/>
      <c r="O4" s="218"/>
      <c r="P4" s="218"/>
    </row>
    <row r="5" spans="1:16" s="291" customFormat="1" ht="28.5" customHeight="1" thickBot="1" x14ac:dyDescent="0.25">
      <c r="A5" s="292" t="s">
        <v>470</v>
      </c>
      <c r="B5" s="687" t="str">
        <f>IF(ISBLANK(programme_output3),"",programme_output3)</f>
        <v/>
      </c>
      <c r="C5" s="688"/>
      <c r="D5" s="688"/>
      <c r="E5" s="688"/>
      <c r="F5" s="688"/>
      <c r="G5" s="689"/>
      <c r="H5" s="293">
        <f t="shared" si="0"/>
        <v>0</v>
      </c>
      <c r="I5" s="358" t="e">
        <f t="shared" si="1"/>
        <v>#DIV/0!</v>
      </c>
      <c r="J5" s="218"/>
      <c r="K5" s="218"/>
      <c r="L5" s="219"/>
      <c r="M5" s="218"/>
      <c r="N5" s="218"/>
      <c r="O5" s="218"/>
      <c r="P5" s="218"/>
    </row>
    <row r="6" spans="1:16" s="291" customFormat="1" ht="28.5" customHeight="1" thickBot="1" x14ac:dyDescent="0.25">
      <c r="A6" s="294"/>
      <c r="B6" s="295"/>
      <c r="C6" s="296"/>
      <c r="D6" s="296"/>
      <c r="E6" s="296"/>
      <c r="F6" s="296"/>
      <c r="G6" s="297" t="s">
        <v>1372</v>
      </c>
      <c r="H6" s="298">
        <f>SUM(H2:H5)</f>
        <v>0</v>
      </c>
      <c r="I6" s="218"/>
      <c r="J6" s="218"/>
      <c r="K6" s="218"/>
      <c r="L6" s="219"/>
      <c r="M6" s="218"/>
      <c r="N6" s="218"/>
      <c r="O6" s="218"/>
      <c r="P6" s="218"/>
    </row>
    <row r="7" spans="1:16" s="291" customFormat="1" ht="28.5" customHeight="1" thickBot="1" x14ac:dyDescent="0.25">
      <c r="A7" s="294"/>
      <c r="B7" s="295"/>
      <c r="C7" s="296"/>
      <c r="D7" s="296"/>
      <c r="E7" s="296"/>
      <c r="F7" s="296"/>
      <c r="G7" s="297" t="s">
        <v>471</v>
      </c>
      <c r="H7" s="298">
        <f>indirect_costs_total</f>
        <v>0</v>
      </c>
      <c r="I7" s="218"/>
      <c r="J7" s="218"/>
      <c r="K7" s="218"/>
      <c r="L7" s="219"/>
      <c r="M7" s="218"/>
      <c r="N7" s="218"/>
      <c r="O7" s="218"/>
      <c r="P7" s="218"/>
    </row>
    <row r="8" spans="1:16" s="291" customFormat="1" ht="28.5" customHeight="1" thickBot="1" x14ac:dyDescent="0.25">
      <c r="A8" s="294"/>
      <c r="B8" s="295"/>
      <c r="C8" s="296"/>
      <c r="D8" s="296"/>
      <c r="E8" s="296"/>
      <c r="F8" s="296"/>
      <c r="G8" s="297" t="s">
        <v>1065</v>
      </c>
      <c r="H8" s="298">
        <f>reserve_total</f>
        <v>0</v>
      </c>
      <c r="I8" s="218"/>
      <c r="J8" s="218"/>
      <c r="K8" s="218"/>
      <c r="L8" s="219"/>
      <c r="M8" s="218"/>
      <c r="N8" s="218"/>
      <c r="O8" s="218"/>
      <c r="P8" s="218"/>
    </row>
    <row r="9" spans="1:16" s="291" customFormat="1" ht="28.5" customHeight="1" thickBot="1" x14ac:dyDescent="0.25">
      <c r="A9" s="294"/>
      <c r="B9" s="295"/>
      <c r="C9" s="296"/>
      <c r="D9" s="296"/>
      <c r="E9" s="296"/>
      <c r="F9" s="296"/>
      <c r="G9" s="297" t="s">
        <v>1066</v>
      </c>
      <c r="H9" s="298">
        <f>in_kind_total</f>
        <v>0</v>
      </c>
      <c r="I9" s="218"/>
      <c r="J9" s="218"/>
      <c r="K9" s="218"/>
      <c r="L9" s="219"/>
      <c r="M9" s="218"/>
      <c r="N9" s="218"/>
      <c r="O9" s="218"/>
      <c r="P9" s="218"/>
    </row>
    <row r="10" spans="1:16" s="291" customFormat="1" ht="28.5" customHeight="1" thickBot="1" x14ac:dyDescent="0.25">
      <c r="A10" s="294"/>
      <c r="B10" s="289"/>
      <c r="C10" s="289"/>
      <c r="D10" s="289"/>
      <c r="E10" s="289"/>
      <c r="F10" s="289"/>
      <c r="G10" s="297" t="s">
        <v>1067</v>
      </c>
      <c r="H10" s="298">
        <f>SUM(H6:H9)</f>
        <v>0</v>
      </c>
      <c r="I10" s="220" t="s">
        <v>472</v>
      </c>
      <c r="J10" s="218"/>
      <c r="K10" s="218"/>
      <c r="L10" s="219"/>
      <c r="M10" s="218"/>
      <c r="N10" s="218"/>
      <c r="O10" s="218"/>
      <c r="P10" s="218"/>
    </row>
    <row r="11" spans="1:16" s="291" customFormat="1" ht="28.5" customHeight="1" x14ac:dyDescent="0.2">
      <c r="A11" s="294"/>
      <c r="B11" s="289"/>
      <c r="C11" s="289"/>
      <c r="D11" s="405"/>
      <c r="E11" s="289"/>
      <c r="F11" s="289"/>
      <c r="G11" s="289"/>
      <c r="H11" s="299"/>
      <c r="I11" s="218"/>
      <c r="J11" s="218"/>
      <c r="K11" s="218"/>
      <c r="L11" s="219"/>
      <c r="M11" s="218"/>
      <c r="N11" s="218"/>
      <c r="O11" s="218"/>
      <c r="P11" s="218"/>
    </row>
    <row r="12" spans="1:16" s="291" customFormat="1" ht="28.5" customHeight="1" thickBot="1" x14ac:dyDescent="0.25">
      <c r="A12" s="287" t="s">
        <v>473</v>
      </c>
      <c r="B12" s="288"/>
      <c r="C12" s="289"/>
      <c r="D12" s="289"/>
      <c r="E12" s="289"/>
      <c r="F12" s="289"/>
      <c r="G12" s="290" t="s">
        <v>474</v>
      </c>
      <c r="H12" s="290" t="s">
        <v>466</v>
      </c>
      <c r="I12" s="290" t="s">
        <v>1060</v>
      </c>
      <c r="J12" s="290" t="s">
        <v>1300</v>
      </c>
      <c r="K12" s="218"/>
      <c r="L12" s="219"/>
      <c r="M12" s="218"/>
      <c r="N12" s="218"/>
      <c r="O12" s="218"/>
      <c r="P12" s="218"/>
    </row>
    <row r="13" spans="1:16" s="291" customFormat="1" ht="28.5" customHeight="1" thickBot="1" x14ac:dyDescent="0.25">
      <c r="A13" s="292" t="s">
        <v>467</v>
      </c>
      <c r="B13" s="368" t="s">
        <v>467</v>
      </c>
      <c r="C13" s="369"/>
      <c r="D13" s="369"/>
      <c r="E13" s="403"/>
      <c r="F13" s="696" t="s">
        <v>467</v>
      </c>
      <c r="G13" s="693"/>
      <c r="H13" s="300">
        <f t="array" ref="H13">SUM(IF(B13="",0,IF(Activities_Column=A13,Amount_Column,0)))</f>
        <v>0</v>
      </c>
      <c r="I13" s="358" t="e">
        <f>H13/H$26</f>
        <v>#DIV/0!</v>
      </c>
      <c r="J13" s="406" t="str">
        <f>B13</f>
        <v>Project Management</v>
      </c>
      <c r="K13" s="218"/>
      <c r="L13" s="219"/>
      <c r="M13" s="218"/>
      <c r="N13" s="218"/>
      <c r="O13" s="218"/>
      <c r="P13" s="218"/>
    </row>
    <row r="14" spans="1:16" s="291" customFormat="1" ht="28.5" customHeight="1" thickBot="1" x14ac:dyDescent="0.25">
      <c r="A14" s="292" t="s">
        <v>475</v>
      </c>
      <c r="B14" s="363" t="str">
        <f>IF(ISBLANK(Activity1_Name),"",Activity1_Name)</f>
        <v/>
      </c>
      <c r="C14" s="302"/>
      <c r="D14" s="302"/>
      <c r="E14" s="404"/>
      <c r="F14" s="692">
        <f>output_relates_activity1</f>
        <v>0</v>
      </c>
      <c r="G14" s="693"/>
      <c r="H14" s="300">
        <f t="array" ref="H14">SUM(IF(B14="",0,IF(Activities_Column=A14,Amount_Column,0)))</f>
        <v>0</v>
      </c>
      <c r="I14" s="358" t="e">
        <f t="shared" ref="I14:I21" si="2">H14/H$26</f>
        <v>#DIV/0!</v>
      </c>
      <c r="J14" s="406" t="str">
        <f t="array" ref="J14">IFERROR(INDEX($A$13:$A$21,SMALL(IF(LEN($B$13:$B$21)&gt;2,ROW($A$1:$A$9),""),ROW(B2))),"")</f>
        <v/>
      </c>
      <c r="K14" s="218"/>
      <c r="L14" s="219"/>
      <c r="M14" s="218"/>
      <c r="N14" s="218"/>
      <c r="O14" s="218"/>
      <c r="P14" s="218"/>
    </row>
    <row r="15" spans="1:16" s="291" customFormat="1" ht="28.5" customHeight="1" thickBot="1" x14ac:dyDescent="0.25">
      <c r="A15" s="292" t="s">
        <v>476</v>
      </c>
      <c r="B15" s="363" t="str">
        <f>IF(ISBLANK(Activity2_Name),"",Activity2_Name)</f>
        <v/>
      </c>
      <c r="C15" s="302"/>
      <c r="D15" s="302"/>
      <c r="E15" s="404"/>
      <c r="F15" s="694">
        <f>output_relates_activity2</f>
        <v>0</v>
      </c>
      <c r="G15" s="695"/>
      <c r="H15" s="300">
        <f t="array" ref="H15">SUM(IF(B15="",0,IF(Activities_Column=A15,Amount_Column,0)))</f>
        <v>0</v>
      </c>
      <c r="I15" s="358" t="e">
        <f t="shared" si="2"/>
        <v>#DIV/0!</v>
      </c>
      <c r="J15" s="406" t="str">
        <f t="array" ref="J15">IFERROR(INDEX($A$13:$A$21,SMALL(IF(LEN($B$13:$B$21)&gt;2,ROW($A$1:$A$9),""),ROW(B3))),"")</f>
        <v/>
      </c>
      <c r="K15" s="218"/>
      <c r="L15" s="219"/>
      <c r="M15" s="218"/>
      <c r="N15" s="218"/>
      <c r="O15" s="218"/>
      <c r="P15" s="218"/>
    </row>
    <row r="16" spans="1:16" s="291" customFormat="1" ht="28.5" customHeight="1" thickBot="1" x14ac:dyDescent="0.25">
      <c r="A16" s="292" t="s">
        <v>477</v>
      </c>
      <c r="B16" s="363" t="str">
        <f>IF(ISBLANK(Activity3_Name),"",Activity3_Name)</f>
        <v/>
      </c>
      <c r="C16" s="302"/>
      <c r="D16" s="302"/>
      <c r="E16" s="404"/>
      <c r="F16" s="694">
        <f>output_relates_activity3</f>
        <v>0</v>
      </c>
      <c r="G16" s="695"/>
      <c r="H16" s="300">
        <f t="array" ref="H16">SUM(IF(B16="",0,IF(Activities_Column=A16,Amount_Column,0)))</f>
        <v>0</v>
      </c>
      <c r="I16" s="358" t="e">
        <f t="shared" si="2"/>
        <v>#DIV/0!</v>
      </c>
      <c r="J16" s="406" t="str">
        <f t="array" ref="J16">IFERROR(INDEX($A$13:$A$21,SMALL(IF(LEN($B$13:$B$21)&gt;2,ROW($A$1:$A$9),""),ROW(B4))),"")</f>
        <v/>
      </c>
      <c r="K16" s="218"/>
      <c r="L16" s="219"/>
      <c r="M16" s="218"/>
      <c r="N16" s="218"/>
      <c r="O16" s="218"/>
      <c r="P16" s="218"/>
    </row>
    <row r="17" spans="1:16" s="291" customFormat="1" ht="28.5" customHeight="1" thickBot="1" x14ac:dyDescent="0.25">
      <c r="A17" s="292" t="s">
        <v>478</v>
      </c>
      <c r="B17" s="363" t="str">
        <f>IF(ISBLANK(Activity4_Name),"",Activity4_Name)</f>
        <v/>
      </c>
      <c r="C17" s="302"/>
      <c r="D17" s="302"/>
      <c r="E17" s="404"/>
      <c r="F17" s="694">
        <f>output_relates_activity4</f>
        <v>0</v>
      </c>
      <c r="G17" s="695"/>
      <c r="H17" s="300">
        <f t="array" ref="H17">SUM(IF(B17="",0,IF(Activities_Column=A17,Amount_Column,0)))</f>
        <v>0</v>
      </c>
      <c r="I17" s="358" t="e">
        <f t="shared" si="2"/>
        <v>#DIV/0!</v>
      </c>
      <c r="J17" s="406" t="str">
        <f t="array" ref="J17">IFERROR(INDEX($A$13:$A$21,SMALL(IF(LEN($B$13:$B$21)&gt;2,ROW($A$1:$A$9),""),ROW(B5))),"")</f>
        <v/>
      </c>
      <c r="K17" s="218"/>
      <c r="L17" s="219"/>
      <c r="M17" s="218"/>
      <c r="N17" s="218"/>
      <c r="O17" s="218"/>
      <c r="P17" s="218"/>
    </row>
    <row r="18" spans="1:16" s="291" customFormat="1" ht="28.5" customHeight="1" thickBot="1" x14ac:dyDescent="0.25">
      <c r="A18" s="292" t="s">
        <v>479</v>
      </c>
      <c r="B18" s="363" t="str">
        <f>IF(ISBLANK(Activity5_Name),"",Activity5_Name)</f>
        <v/>
      </c>
      <c r="C18" s="302"/>
      <c r="D18" s="302"/>
      <c r="E18" s="404"/>
      <c r="F18" s="694">
        <f>output_relates_activity5</f>
        <v>0</v>
      </c>
      <c r="G18" s="695"/>
      <c r="H18" s="300">
        <f t="array" ref="H18">SUM(IF(B18="",0,IF(Activities_Column=A18,Amount_Column,0)))</f>
        <v>0</v>
      </c>
      <c r="I18" s="358" t="e">
        <f t="shared" si="2"/>
        <v>#DIV/0!</v>
      </c>
      <c r="J18" s="406" t="str">
        <f t="array" ref="J18">IFERROR(INDEX($A$13:$A$21,SMALL(IF(LEN($B$13:$B$21)&gt;2,ROW($A$1:$A$9),""),ROW(B6))),"")</f>
        <v/>
      </c>
      <c r="K18" s="218"/>
      <c r="L18" s="219"/>
      <c r="M18" s="218"/>
      <c r="N18" s="218"/>
      <c r="O18" s="218"/>
      <c r="P18" s="218"/>
    </row>
    <row r="19" spans="1:16" s="291" customFormat="1" ht="28.5" customHeight="1" thickBot="1" x14ac:dyDescent="0.25">
      <c r="A19" s="292" t="s">
        <v>480</v>
      </c>
      <c r="B19" s="363" t="str">
        <f>IF(ISBLANK(Activity6_Name),"",Activity6_Name)</f>
        <v/>
      </c>
      <c r="C19" s="302"/>
      <c r="D19" s="302"/>
      <c r="E19" s="404"/>
      <c r="F19" s="694">
        <f>output_relates_activity6</f>
        <v>0</v>
      </c>
      <c r="G19" s="695"/>
      <c r="H19" s="300">
        <f t="array" ref="H19">SUM(IF(B19="",0,IF(Activities_Column=A19,Amount_Column,0)))</f>
        <v>0</v>
      </c>
      <c r="I19" s="358" t="e">
        <f t="shared" si="2"/>
        <v>#DIV/0!</v>
      </c>
      <c r="J19" s="406" t="str">
        <f t="array" ref="J19">IFERROR(INDEX($A$13:$A$21,SMALL(IF(LEN($B$13:$B$21)&gt;2,ROW($A$1:$A$9),""),ROW(B7))),"")</f>
        <v/>
      </c>
      <c r="K19" s="218"/>
      <c r="L19" s="219"/>
      <c r="M19" s="218"/>
      <c r="N19" s="218"/>
      <c r="O19" s="218"/>
      <c r="P19" s="218"/>
    </row>
    <row r="20" spans="1:16" s="291" customFormat="1" ht="28.5" customHeight="1" thickBot="1" x14ac:dyDescent="0.25">
      <c r="A20" s="292" t="s">
        <v>481</v>
      </c>
      <c r="B20" s="363" t="str">
        <f>IF(ISBLANK(Activity7_Name),"",Activity7_Name)</f>
        <v/>
      </c>
      <c r="C20" s="302"/>
      <c r="D20" s="302"/>
      <c r="E20" s="404"/>
      <c r="F20" s="694">
        <f>output_relates_activity7</f>
        <v>0</v>
      </c>
      <c r="G20" s="695"/>
      <c r="H20" s="300">
        <f t="array" ref="H20">SUM(IF(B20="",0,IF(Activities_Column=A20,Amount_Column,0)))</f>
        <v>0</v>
      </c>
      <c r="I20" s="358" t="e">
        <f t="shared" si="2"/>
        <v>#DIV/0!</v>
      </c>
      <c r="J20" s="406" t="str">
        <f t="array" ref="J20">IFERROR(INDEX($A$13:$A$21,SMALL(IF(LEN($B$13:$B$21)&gt;2,ROW($A$1:$A$9),""),ROW(B8))),"")</f>
        <v/>
      </c>
      <c r="K20" s="218"/>
      <c r="L20" s="219"/>
      <c r="M20" s="218"/>
      <c r="N20" s="218"/>
      <c r="O20" s="218"/>
      <c r="P20" s="218"/>
    </row>
    <row r="21" spans="1:16" s="291" customFormat="1" ht="28.5" customHeight="1" thickBot="1" x14ac:dyDescent="0.25">
      <c r="A21" s="292" t="s">
        <v>482</v>
      </c>
      <c r="B21" s="363" t="str">
        <f>IF(ISBLANK(Activity8_Name),"",Activity8_Name)</f>
        <v/>
      </c>
      <c r="C21" s="302"/>
      <c r="D21" s="302"/>
      <c r="E21" s="404"/>
      <c r="F21" s="694">
        <f>output_relates_activity8</f>
        <v>0</v>
      </c>
      <c r="G21" s="695"/>
      <c r="H21" s="300">
        <f t="array" ref="H21">SUM(IF(B21="",0,IF(Activities_Column=A21,Amount_Column,0)))</f>
        <v>0</v>
      </c>
      <c r="I21" s="358" t="e">
        <f t="shared" si="2"/>
        <v>#DIV/0!</v>
      </c>
      <c r="J21" s="406" t="str">
        <f t="array" ref="J21">IFERROR(INDEX($A$13:$A$21,SMALL(IF(LEN($B$13:$B$21)&gt;2,ROW($A$1:$A$9),""),ROW(B9))),"")</f>
        <v/>
      </c>
      <c r="K21" s="218"/>
      <c r="L21" s="219"/>
      <c r="M21" s="218"/>
      <c r="N21" s="218"/>
      <c r="O21" s="218"/>
      <c r="P21" s="218"/>
    </row>
    <row r="22" spans="1:16" s="291" customFormat="1" ht="28.5" customHeight="1" thickBot="1" x14ac:dyDescent="0.25">
      <c r="A22" s="294"/>
      <c r="B22" s="295"/>
      <c r="C22" s="296"/>
      <c r="D22" s="296"/>
      <c r="E22" s="296"/>
      <c r="F22" s="296"/>
      <c r="G22" s="297" t="s">
        <v>1372</v>
      </c>
      <c r="H22" s="298">
        <f>SUM(H13:H21)</f>
        <v>0</v>
      </c>
      <c r="I22" s="218"/>
      <c r="J22" s="218"/>
      <c r="K22" s="218"/>
      <c r="L22" s="219"/>
      <c r="M22" s="218"/>
      <c r="N22" s="218"/>
      <c r="O22" s="218"/>
      <c r="P22" s="218"/>
    </row>
    <row r="23" spans="1:16" s="291" customFormat="1" ht="28.5" customHeight="1" thickBot="1" x14ac:dyDescent="0.25">
      <c r="A23" s="294"/>
      <c r="B23" s="295"/>
      <c r="C23" s="296"/>
      <c r="D23" s="296"/>
      <c r="E23" s="296"/>
      <c r="F23" s="296"/>
      <c r="G23" s="297" t="s">
        <v>471</v>
      </c>
      <c r="H23" s="298">
        <f>amount_indirect_costs</f>
        <v>0</v>
      </c>
      <c r="I23" s="218"/>
      <c r="J23" s="218"/>
      <c r="K23" s="218"/>
      <c r="L23" s="219"/>
      <c r="M23" s="218"/>
      <c r="N23" s="218"/>
      <c r="O23" s="218"/>
      <c r="P23" s="218"/>
    </row>
    <row r="24" spans="1:16" s="291" customFormat="1" ht="28.5" customHeight="1" thickBot="1" x14ac:dyDescent="0.25">
      <c r="A24" s="294"/>
      <c r="B24" s="295"/>
      <c r="C24" s="296"/>
      <c r="D24" s="296"/>
      <c r="E24" s="296"/>
      <c r="F24" s="296"/>
      <c r="G24" s="297" t="s">
        <v>1065</v>
      </c>
      <c r="H24" s="298">
        <f>reserve_total</f>
        <v>0</v>
      </c>
      <c r="I24" s="218"/>
      <c r="J24" s="218"/>
      <c r="K24" s="218"/>
      <c r="L24" s="219"/>
      <c r="M24" s="218"/>
      <c r="N24" s="218"/>
      <c r="O24" s="218"/>
      <c r="P24" s="218"/>
    </row>
    <row r="25" spans="1:16" s="291" customFormat="1" ht="28.5" customHeight="1" thickBot="1" x14ac:dyDescent="0.25">
      <c r="A25" s="294"/>
      <c r="B25" s="295"/>
      <c r="C25" s="296"/>
      <c r="D25" s="296"/>
      <c r="E25" s="296"/>
      <c r="F25" s="296"/>
      <c r="G25" s="297" t="s">
        <v>1066</v>
      </c>
      <c r="H25" s="298">
        <f>in_kind_total</f>
        <v>0</v>
      </c>
      <c r="I25" s="218"/>
      <c r="J25" s="218"/>
      <c r="K25" s="218"/>
      <c r="L25" s="219"/>
      <c r="M25" s="218"/>
      <c r="N25" s="218"/>
      <c r="O25" s="218"/>
      <c r="P25" s="218"/>
    </row>
    <row r="26" spans="1:16" s="291" customFormat="1" ht="28.5" customHeight="1" thickBot="1" x14ac:dyDescent="0.25">
      <c r="A26" s="294"/>
      <c r="B26" s="289"/>
      <c r="C26" s="289"/>
      <c r="D26" s="289"/>
      <c r="E26" s="289"/>
      <c r="F26" s="289"/>
      <c r="G26" s="297" t="s">
        <v>1067</v>
      </c>
      <c r="H26" s="298">
        <f>SUM(H22:H25)</f>
        <v>0</v>
      </c>
      <c r="I26" s="220" t="s">
        <v>1141</v>
      </c>
      <c r="J26" s="218"/>
      <c r="K26" s="218"/>
      <c r="L26" s="219"/>
      <c r="M26" s="218"/>
      <c r="N26" s="218"/>
      <c r="O26" s="218"/>
      <c r="P26" s="218"/>
    </row>
    <row r="27" spans="1:16" ht="28.5" customHeight="1" x14ac:dyDescent="0.2"/>
    <row r="28" spans="1:16" s="291" customFormat="1" ht="42" customHeight="1" thickBot="1" x14ac:dyDescent="0.25">
      <c r="A28" s="287" t="s">
        <v>483</v>
      </c>
      <c r="B28" s="288"/>
      <c r="C28" s="289"/>
      <c r="D28" s="289"/>
      <c r="E28" s="289"/>
      <c r="F28" s="289"/>
      <c r="G28" s="290"/>
      <c r="H28" s="290" t="s">
        <v>466</v>
      </c>
      <c r="I28" s="290" t="s">
        <v>1060</v>
      </c>
      <c r="J28" s="290" t="s">
        <v>1062</v>
      </c>
      <c r="K28" s="290" t="s">
        <v>1061</v>
      </c>
      <c r="L28" s="219"/>
      <c r="M28" s="218"/>
      <c r="N28" s="218"/>
      <c r="O28" s="218"/>
      <c r="P28" s="218"/>
    </row>
    <row r="29" spans="1:16" s="291" customFormat="1" ht="28.5" customHeight="1" thickBot="1" x14ac:dyDescent="0.25">
      <c r="A29" s="292" t="s">
        <v>484</v>
      </c>
      <c r="B29" s="301" t="s">
        <v>1076</v>
      </c>
      <c r="C29" s="301"/>
      <c r="D29" s="302"/>
      <c r="E29" s="304" t="s">
        <v>485</v>
      </c>
      <c r="F29" s="302"/>
      <c r="G29" s="305"/>
      <c r="H29" s="300">
        <f t="array" ref="H29">SUM(IF(B29="",0,IF(Budget_Headings_Column=B29,Amount_Column,0)))</f>
        <v>0</v>
      </c>
      <c r="I29" s="358" t="e">
        <f t="shared" ref="I29:I40" si="3">ROUND(H29/total_eligible_expenditure_total,2)</f>
        <v>#DIV/0!</v>
      </c>
      <c r="J29" s="300">
        <f>amount_budget_heading1+amount_budget_heading2+amount_budget_heading3+reserve_total</f>
        <v>0</v>
      </c>
      <c r="K29" s="300">
        <f>SUM(H32:H40)+indirect_costs_total+in_kind_total</f>
        <v>0</v>
      </c>
      <c r="L29" s="219"/>
      <c r="M29" s="218"/>
      <c r="N29" s="218"/>
      <c r="O29" s="218"/>
      <c r="P29" s="218"/>
    </row>
    <row r="30" spans="1:16" s="291" customFormat="1" ht="28.5" customHeight="1" thickBot="1" x14ac:dyDescent="0.25">
      <c r="A30" s="292" t="s">
        <v>486</v>
      </c>
      <c r="B30" s="301" t="s">
        <v>1361</v>
      </c>
      <c r="C30" s="302"/>
      <c r="D30" s="302"/>
      <c r="E30" s="304" t="s">
        <v>437</v>
      </c>
      <c r="F30" s="302"/>
      <c r="G30" s="305"/>
      <c r="H30" s="300">
        <f t="array" ref="H30">SUM(IF(B30="",0,IF(Budget_Headings_Column=B30,Amount_Column,0)))</f>
        <v>0</v>
      </c>
      <c r="I30" s="358" t="e">
        <f t="shared" si="3"/>
        <v>#DIV/0!</v>
      </c>
      <c r="J30" s="358" t="e">
        <f>ROUND(infrastructure_costs_total/total_eligible_expenditure_total,2)</f>
        <v>#DIV/0!</v>
      </c>
      <c r="K30" s="358" t="e">
        <f>ROUND(non_investment_costs_total/total_eligible_expenditure_total,2)</f>
        <v>#DIV/0!</v>
      </c>
      <c r="L30" s="219"/>
      <c r="M30" s="218"/>
      <c r="N30" s="218"/>
      <c r="O30" s="218"/>
      <c r="P30" s="218"/>
    </row>
    <row r="31" spans="1:16" s="291" customFormat="1" ht="28.5" customHeight="1" thickBot="1" x14ac:dyDescent="0.25">
      <c r="A31" s="292" t="s">
        <v>487</v>
      </c>
      <c r="B31" s="301" t="s">
        <v>1075</v>
      </c>
      <c r="C31" s="302"/>
      <c r="D31" s="302"/>
      <c r="E31" s="304" t="s">
        <v>488</v>
      </c>
      <c r="F31" s="302"/>
      <c r="G31" s="305"/>
      <c r="H31" s="300">
        <f t="array" ref="H31">SUM(IF(B31="",0,IF(Budget_Headings_Column=B31,Amount_Column,0)))</f>
        <v>0</v>
      </c>
      <c r="I31" s="358" t="e">
        <f t="shared" si="3"/>
        <v>#DIV/0!</v>
      </c>
      <c r="J31" s="218"/>
      <c r="K31" s="218"/>
      <c r="L31" s="219"/>
      <c r="M31" s="218"/>
      <c r="N31" s="218"/>
      <c r="O31" s="218"/>
      <c r="P31" s="218"/>
    </row>
    <row r="32" spans="1:16" s="291" customFormat="1" ht="28.5" customHeight="1" thickBot="1" x14ac:dyDescent="0.25">
      <c r="A32" s="292" t="s">
        <v>489</v>
      </c>
      <c r="B32" s="301" t="s">
        <v>427</v>
      </c>
      <c r="C32" s="302"/>
      <c r="D32" s="302"/>
      <c r="E32" s="304" t="s">
        <v>490</v>
      </c>
      <c r="F32" s="302"/>
      <c r="G32" s="305"/>
      <c r="H32" s="300">
        <f t="array" ref="H32">SUM(IF(B32="",0,IF(Budget_Headings_Column=B32,Amount_Column,0)))</f>
        <v>0</v>
      </c>
      <c r="I32" s="358" t="e">
        <f t="shared" si="3"/>
        <v>#DIV/0!</v>
      </c>
      <c r="J32" s="218"/>
      <c r="K32" s="218"/>
      <c r="L32" s="219"/>
      <c r="M32" s="218"/>
      <c r="N32" s="218"/>
      <c r="O32" s="218"/>
      <c r="P32" s="218"/>
    </row>
    <row r="33" spans="1:16" s="291" customFormat="1" ht="28.5" customHeight="1" thickBot="1" x14ac:dyDescent="0.25">
      <c r="A33" s="292" t="s">
        <v>491</v>
      </c>
      <c r="B33" s="301" t="s">
        <v>428</v>
      </c>
      <c r="C33" s="302"/>
      <c r="D33" s="302"/>
      <c r="E33" s="304" t="s">
        <v>492</v>
      </c>
      <c r="F33" s="302"/>
      <c r="G33" s="305"/>
      <c r="H33" s="300">
        <f t="array" ref="H33">SUM(IF(B33="",0,IF(Budget_Headings_Column=B33,Amount_Column,0)))</f>
        <v>0</v>
      </c>
      <c r="I33" s="358" t="e">
        <f t="shared" si="3"/>
        <v>#DIV/0!</v>
      </c>
      <c r="J33" s="218"/>
      <c r="K33" s="218"/>
      <c r="L33" s="219"/>
      <c r="M33" s="218"/>
      <c r="N33" s="218"/>
      <c r="O33" s="218"/>
      <c r="P33" s="218"/>
    </row>
    <row r="34" spans="1:16" s="291" customFormat="1" ht="28.5" customHeight="1" thickBot="1" x14ac:dyDescent="0.25">
      <c r="A34" s="292" t="s">
        <v>493</v>
      </c>
      <c r="B34" s="301" t="s">
        <v>1074</v>
      </c>
      <c r="C34" s="302"/>
      <c r="D34" s="302"/>
      <c r="E34" s="304" t="s">
        <v>494</v>
      </c>
      <c r="F34" s="302"/>
      <c r="G34" s="305"/>
      <c r="H34" s="300">
        <f t="array" ref="H34">SUM(IF(B34="",0,IF(Budget_Headings_Column=B34,Amount_Column,0)))</f>
        <v>0</v>
      </c>
      <c r="I34" s="358" t="e">
        <f t="shared" si="3"/>
        <v>#DIV/0!</v>
      </c>
      <c r="J34" s="218"/>
      <c r="K34" s="218"/>
      <c r="L34" s="219"/>
      <c r="M34" s="218"/>
      <c r="N34" s="218"/>
      <c r="O34" s="218"/>
      <c r="P34" s="218"/>
    </row>
    <row r="35" spans="1:16" s="291" customFormat="1" ht="28.5" customHeight="1" thickBot="1" x14ac:dyDescent="0.25">
      <c r="A35" s="292" t="s">
        <v>495</v>
      </c>
      <c r="B35" s="301" t="s">
        <v>1077</v>
      </c>
      <c r="C35" s="302"/>
      <c r="D35" s="302"/>
      <c r="E35" s="304" t="s">
        <v>496</v>
      </c>
      <c r="F35" s="302"/>
      <c r="G35" s="305"/>
      <c r="H35" s="300">
        <f t="array" ref="H35">SUM(IF(B35="",0,IF(Budget_Headings_Column=B35,Amount_Column,0)))</f>
        <v>0</v>
      </c>
      <c r="I35" s="358" t="e">
        <f t="shared" si="3"/>
        <v>#DIV/0!</v>
      </c>
      <c r="J35" s="218"/>
      <c r="K35" s="218"/>
      <c r="L35" s="219"/>
      <c r="M35" s="218"/>
      <c r="N35" s="218"/>
      <c r="O35" s="218"/>
      <c r="P35" s="218"/>
    </row>
    <row r="36" spans="1:16" s="291" customFormat="1" ht="28.5" customHeight="1" thickBot="1" x14ac:dyDescent="0.25">
      <c r="A36" s="292" t="s">
        <v>497</v>
      </c>
      <c r="B36" s="301" t="s">
        <v>429</v>
      </c>
      <c r="C36" s="302"/>
      <c r="D36" s="302"/>
      <c r="E36" s="304" t="s">
        <v>498</v>
      </c>
      <c r="F36" s="302"/>
      <c r="G36" s="305"/>
      <c r="H36" s="300">
        <f t="array" ref="H36">SUM(IF(B36="",0,IF(Budget_Headings_Column=B36,Amount_Column,0)))</f>
        <v>0</v>
      </c>
      <c r="I36" s="358" t="e">
        <f t="shared" si="3"/>
        <v>#DIV/0!</v>
      </c>
      <c r="J36" s="218"/>
      <c r="K36" s="218"/>
      <c r="L36" s="219"/>
      <c r="M36" s="218"/>
      <c r="N36" s="218"/>
      <c r="O36" s="218"/>
      <c r="P36" s="218"/>
    </row>
    <row r="37" spans="1:16" s="291" customFormat="1" ht="28.5" customHeight="1" thickBot="1" x14ac:dyDescent="0.25">
      <c r="A37" s="292" t="s">
        <v>499</v>
      </c>
      <c r="B37" s="301" t="s">
        <v>1072</v>
      </c>
      <c r="C37" s="302"/>
      <c r="D37" s="302"/>
      <c r="E37" s="304" t="s">
        <v>1073</v>
      </c>
      <c r="F37" s="302"/>
      <c r="G37" s="305"/>
      <c r="H37" s="300">
        <f t="array" ref="H37">SUM(IF(B37="",0,IF(Budget_Headings_Column=B37,Amount_Column,0)))</f>
        <v>0</v>
      </c>
      <c r="I37" s="358" t="e">
        <f t="shared" si="3"/>
        <v>#DIV/0!</v>
      </c>
      <c r="J37" s="218"/>
      <c r="K37" s="218"/>
      <c r="L37" s="219"/>
      <c r="M37" s="218"/>
      <c r="N37" s="218"/>
      <c r="O37" s="218"/>
      <c r="P37" s="218"/>
    </row>
    <row r="38" spans="1:16" s="291" customFormat="1" ht="28.5" customHeight="1" thickBot="1" x14ac:dyDescent="0.25">
      <c r="A38" s="292" t="s">
        <v>500</v>
      </c>
      <c r="B38" s="301" t="s">
        <v>981</v>
      </c>
      <c r="C38" s="302"/>
      <c r="D38" s="302"/>
      <c r="E38" s="304" t="s">
        <v>979</v>
      </c>
      <c r="F38" s="302"/>
      <c r="G38" s="305"/>
      <c r="H38" s="300">
        <f t="array" ref="H38">SUM(IF(B38="",0,IF(Budget_Headings_Column=B38,Amount_Column,0)))</f>
        <v>0</v>
      </c>
      <c r="I38" s="358" t="e">
        <f t="shared" si="3"/>
        <v>#DIV/0!</v>
      </c>
      <c r="J38" s="218"/>
      <c r="K38" s="218"/>
      <c r="L38" s="219"/>
      <c r="M38" s="218"/>
      <c r="N38" s="218"/>
      <c r="O38" s="218"/>
      <c r="P38" s="218"/>
    </row>
    <row r="39" spans="1:16" s="291" customFormat="1" ht="28.5" customHeight="1" thickBot="1" x14ac:dyDescent="0.25">
      <c r="A39" s="292" t="s">
        <v>501</v>
      </c>
      <c r="B39" s="301" t="s">
        <v>977</v>
      </c>
      <c r="C39" s="302"/>
      <c r="D39" s="302"/>
      <c r="E39" s="304" t="s">
        <v>980</v>
      </c>
      <c r="F39" s="302"/>
      <c r="G39" s="305"/>
      <c r="H39" s="300">
        <f t="array" ref="H39">SUM(IF(B39="",0,IF(Budget_Headings_Column=B39,Amount_Column,0)))</f>
        <v>0</v>
      </c>
      <c r="I39" s="358" t="e">
        <f t="shared" si="3"/>
        <v>#DIV/0!</v>
      </c>
      <c r="J39" s="218"/>
      <c r="K39" s="218"/>
      <c r="L39" s="219"/>
      <c r="M39" s="218"/>
      <c r="N39" s="218"/>
      <c r="O39" s="218"/>
      <c r="P39" s="218"/>
    </row>
    <row r="40" spans="1:16" s="291" customFormat="1" ht="28.5" customHeight="1" thickBot="1" x14ac:dyDescent="0.25">
      <c r="A40" s="292" t="s">
        <v>978</v>
      </c>
      <c r="B40" s="301" t="s">
        <v>430</v>
      </c>
      <c r="C40" s="302"/>
      <c r="D40" s="302"/>
      <c r="E40" s="304" t="s">
        <v>166</v>
      </c>
      <c r="F40" s="302"/>
      <c r="G40" s="305"/>
      <c r="H40" s="300">
        <f t="array" ref="H40">SUM(IF(B40="",0,IF(Budget_Headings_Column=B40,Amount_Column,0)))</f>
        <v>0</v>
      </c>
      <c r="I40" s="358" t="e">
        <f t="shared" si="3"/>
        <v>#DIV/0!</v>
      </c>
      <c r="J40" s="218"/>
      <c r="K40" s="218"/>
      <c r="L40" s="219"/>
      <c r="M40" s="218"/>
      <c r="N40" s="218"/>
      <c r="O40" s="218"/>
      <c r="P40" s="218"/>
    </row>
    <row r="41" spans="1:16" s="291" customFormat="1" ht="28.5" customHeight="1" thickBot="1" x14ac:dyDescent="0.25">
      <c r="A41" s="294"/>
      <c r="B41" s="295"/>
      <c r="C41" s="296"/>
      <c r="D41" s="296"/>
      <c r="E41" s="296"/>
      <c r="F41" s="296"/>
      <c r="G41" s="297" t="s">
        <v>1372</v>
      </c>
      <c r="H41" s="298">
        <f>SUM(H29:H40)</f>
        <v>0</v>
      </c>
      <c r="I41" s="218"/>
      <c r="J41" s="218"/>
      <c r="K41" s="218"/>
      <c r="L41" s="219"/>
      <c r="M41" s="218"/>
      <c r="N41" s="218"/>
      <c r="O41" s="218"/>
      <c r="P41" s="218"/>
    </row>
    <row r="42" spans="1:16" s="291" customFormat="1" ht="28.5" customHeight="1" thickBot="1" x14ac:dyDescent="0.25">
      <c r="A42" s="294"/>
      <c r="B42" s="295"/>
      <c r="C42" s="296"/>
      <c r="D42" s="296"/>
      <c r="E42" s="296"/>
      <c r="F42" s="296"/>
      <c r="G42" s="297" t="s">
        <v>471</v>
      </c>
      <c r="H42" s="298">
        <f>amount_indirect_costs</f>
        <v>0</v>
      </c>
      <c r="I42" s="218"/>
      <c r="J42" s="218"/>
      <c r="K42" s="218"/>
      <c r="L42" s="219"/>
      <c r="M42" s="218"/>
      <c r="N42" s="218"/>
      <c r="O42" s="218"/>
      <c r="P42" s="218"/>
    </row>
    <row r="43" spans="1:16" s="291" customFormat="1" ht="28.5" customHeight="1" thickBot="1" x14ac:dyDescent="0.25">
      <c r="A43" s="294"/>
      <c r="B43" s="295"/>
      <c r="C43" s="296"/>
      <c r="D43" s="296"/>
      <c r="E43" s="296"/>
      <c r="F43" s="296"/>
      <c r="G43" s="297" t="s">
        <v>1065</v>
      </c>
      <c r="H43" s="298">
        <f>reserve_total</f>
        <v>0</v>
      </c>
      <c r="I43" s="218"/>
      <c r="J43" s="218"/>
      <c r="K43" s="218"/>
      <c r="L43" s="219"/>
      <c r="M43" s="218"/>
      <c r="N43" s="218"/>
      <c r="O43" s="218"/>
      <c r="P43" s="218"/>
    </row>
    <row r="44" spans="1:16" s="291" customFormat="1" ht="28.5" customHeight="1" thickBot="1" x14ac:dyDescent="0.25">
      <c r="A44" s="294"/>
      <c r="B44" s="295"/>
      <c r="C44" s="296"/>
      <c r="D44" s="296"/>
      <c r="E44" s="296"/>
      <c r="F44" s="296"/>
      <c r="G44" s="297" t="s">
        <v>1066</v>
      </c>
      <c r="H44" s="298">
        <f>in_kind_total</f>
        <v>0</v>
      </c>
      <c r="I44" s="218"/>
      <c r="J44" s="218"/>
      <c r="K44" s="218"/>
      <c r="L44" s="219"/>
      <c r="M44" s="218"/>
      <c r="N44" s="218"/>
      <c r="O44" s="218"/>
      <c r="P44" s="218"/>
    </row>
    <row r="45" spans="1:16" s="291" customFormat="1" ht="28.5" customHeight="1" thickBot="1" x14ac:dyDescent="0.25">
      <c r="A45" s="294"/>
      <c r="B45" s="289"/>
      <c r="C45" s="289"/>
      <c r="D45" s="289"/>
      <c r="E45" s="289"/>
      <c r="F45" s="289"/>
      <c r="G45" s="297" t="s">
        <v>1067</v>
      </c>
      <c r="H45" s="298">
        <f>SUM(H41:H44)</f>
        <v>0</v>
      </c>
      <c r="I45" s="220" t="s">
        <v>1142</v>
      </c>
      <c r="J45" s="218"/>
      <c r="K45" s="218"/>
      <c r="L45" s="219"/>
      <c r="M45" s="218"/>
      <c r="N45" s="218"/>
      <c r="O45" s="218"/>
      <c r="P45" s="218"/>
    </row>
    <row r="46" spans="1:16" ht="28.5" customHeight="1" x14ac:dyDescent="0.2"/>
    <row r="47" spans="1:16" s="291" customFormat="1" ht="28.5" customHeight="1" thickBot="1" x14ac:dyDescent="0.25">
      <c r="A47" s="306" t="s">
        <v>502</v>
      </c>
      <c r="D47" s="219"/>
      <c r="E47" s="219"/>
      <c r="F47" s="219"/>
      <c r="G47" s="219"/>
      <c r="H47" s="219"/>
      <c r="I47" s="219"/>
      <c r="J47" s="219"/>
      <c r="K47" s="219"/>
      <c r="L47" s="219"/>
      <c r="M47" s="218"/>
      <c r="N47" s="218"/>
      <c r="O47" s="218"/>
      <c r="P47" s="218"/>
    </row>
    <row r="48" spans="1:16" s="291" customFormat="1" ht="30.75" customHeight="1" thickBot="1" x14ac:dyDescent="0.25">
      <c r="A48" s="690" t="s">
        <v>506</v>
      </c>
      <c r="B48" s="691"/>
      <c r="C48" s="307" t="s">
        <v>23</v>
      </c>
      <c r="D48" s="307" t="s">
        <v>106</v>
      </c>
      <c r="E48" s="307" t="s">
        <v>107</v>
      </c>
      <c r="F48" s="307" t="s">
        <v>108</v>
      </c>
      <c r="G48" s="307" t="s">
        <v>109</v>
      </c>
      <c r="H48" s="361" t="s">
        <v>24</v>
      </c>
      <c r="I48" s="361" t="s">
        <v>1373</v>
      </c>
      <c r="J48" s="218"/>
      <c r="K48" s="218"/>
      <c r="L48" s="219"/>
      <c r="M48" s="218"/>
      <c r="N48" s="218"/>
      <c r="O48" s="218"/>
      <c r="P48" s="218"/>
    </row>
    <row r="49" spans="1:16" s="291" customFormat="1" ht="28.5" customHeight="1" thickBot="1" x14ac:dyDescent="0.25">
      <c r="A49" s="682" t="s">
        <v>445</v>
      </c>
      <c r="B49" s="683"/>
      <c r="C49" s="307" t="str">
        <f>IF(applicant_name="","",applicant_name)</f>
        <v/>
      </c>
      <c r="D49" s="307" t="str">
        <f>IF(partner1_name="","",partner1_name)</f>
        <v/>
      </c>
      <c r="E49" s="307" t="str">
        <f>IF(partner2_name="","",partner2_name)</f>
        <v/>
      </c>
      <c r="F49" s="307" t="str">
        <f>IF(partner3_name="","",partner3_name)</f>
        <v/>
      </c>
      <c r="G49" s="307" t="str">
        <f>IF(partner4_name="","",partner4_name)</f>
        <v/>
      </c>
      <c r="H49" s="362"/>
      <c r="I49" s="362"/>
      <c r="J49" s="218"/>
      <c r="K49" s="218"/>
      <c r="L49" s="219"/>
      <c r="M49" s="218"/>
      <c r="N49" s="218"/>
      <c r="O49" s="218"/>
      <c r="P49" s="218"/>
    </row>
    <row r="50" spans="1:16" s="291" customFormat="1" ht="28.5" customHeight="1" thickBot="1" x14ac:dyDescent="0.25">
      <c r="A50" s="308" t="s">
        <v>467</v>
      </c>
      <c r="B50" s="309" t="s">
        <v>467</v>
      </c>
      <c r="C50" s="310">
        <f t="array" ref="C50">IF($A50="",0,SUM(IF(Implemented_By_Column=C$48,IF(Activities_Column=$B50,Amount_Column,0))))</f>
        <v>0</v>
      </c>
      <c r="D50" s="310">
        <f t="array" ref="D50">IF($A50="",0,SUM(IF(Implemented_By_Column=D$48,IF(Activities_Column=$B50,Amount_Column,0))))</f>
        <v>0</v>
      </c>
      <c r="E50" s="310">
        <f t="array" ref="E50">IF($A50="",0,SUM(IF(Implemented_By_Column=E$48,IF(Activities_Column=$B50,Amount_Column,0))))</f>
        <v>0</v>
      </c>
      <c r="F50" s="310">
        <f t="array" ref="F50">IF($A50="",0,SUM(IF(Implemented_By_Column=F$48,IF(Activities_Column=$B50,Amount_Column,0))))</f>
        <v>0</v>
      </c>
      <c r="G50" s="310">
        <f t="array" ref="G50">IF($A50="",0,SUM(IF(Implemented_By_Column=G$48,IF(Activities_Column=$B50,Amount_Column,0))))</f>
        <v>0</v>
      </c>
      <c r="H50" s="300">
        <f>SUM(C50:G50)</f>
        <v>0</v>
      </c>
      <c r="I50" s="326" t="e">
        <f>H50/H$59</f>
        <v>#DIV/0!</v>
      </c>
      <c r="J50" s="218"/>
      <c r="K50" s="218"/>
      <c r="L50" s="219"/>
      <c r="M50" s="218"/>
      <c r="N50" s="218"/>
      <c r="O50" s="218"/>
      <c r="P50" s="218"/>
    </row>
    <row r="51" spans="1:16" s="291" customFormat="1" ht="28.5" customHeight="1" thickBot="1" x14ac:dyDescent="0.25">
      <c r="A51" s="311" t="str">
        <f>IF(Activity1_Name="","",Activity1_Name)</f>
        <v/>
      </c>
      <c r="B51" s="312" t="s">
        <v>475</v>
      </c>
      <c r="C51" s="310">
        <f t="array" ref="C51">IF($A51="",0,SUM(IF(Implemented_By_Column=C$48,IF(Activities_Column=$B51,Amount_Column,0))))</f>
        <v>0</v>
      </c>
      <c r="D51" s="310">
        <f t="array" ref="D51">IF($A51="",0,SUM(IF(Implemented_By_Column=D$48,IF(Activities_Column=$B51,Amount_Column,0))))</f>
        <v>0</v>
      </c>
      <c r="E51" s="310">
        <f t="array" ref="E51">IF($A51="",0,SUM(IF(Implemented_By_Column=E$48,IF(Activities_Column=$B51,Amount_Column,0))))</f>
        <v>0</v>
      </c>
      <c r="F51" s="310">
        <f t="array" ref="F51">IF($A51="",0,SUM(IF(Implemented_By_Column=F$48,IF(Activities_Column=$B51,Amount_Column,0))))</f>
        <v>0</v>
      </c>
      <c r="G51" s="310">
        <f t="array" ref="G51">IF($A51="",0,SUM(IF(Implemented_By_Column=G$48,IF(Activities_Column=$B51,Amount_Column,0))))</f>
        <v>0</v>
      </c>
      <c r="H51" s="300">
        <f t="shared" ref="H51:H58" si="4">SUM(C51:G51)</f>
        <v>0</v>
      </c>
      <c r="I51" s="326" t="e">
        <f t="shared" ref="I51:I57" si="5">H51/H$59</f>
        <v>#DIV/0!</v>
      </c>
      <c r="J51" s="218"/>
      <c r="K51" s="218"/>
      <c r="L51" s="219"/>
      <c r="M51" s="218"/>
      <c r="N51" s="218"/>
      <c r="O51" s="218"/>
      <c r="P51" s="218"/>
    </row>
    <row r="52" spans="1:16" s="291" customFormat="1" ht="28.5" customHeight="1" thickBot="1" x14ac:dyDescent="0.25">
      <c r="A52" s="311" t="str">
        <f>IF(Activity2_Name="","",Activity2_Name)</f>
        <v/>
      </c>
      <c r="B52" s="312" t="s">
        <v>476</v>
      </c>
      <c r="C52" s="310">
        <f t="array" ref="C52">IF($A52="",0,SUM(IF(Implemented_By_Column=C$48,IF(Activities_Column=$B52,Amount_Column,0))))</f>
        <v>0</v>
      </c>
      <c r="D52" s="310">
        <f t="array" ref="D52">IF($A52="",0,SUM(IF(Implemented_By_Column=D$48,IF(Activities_Column=$B52,Amount_Column,0))))</f>
        <v>0</v>
      </c>
      <c r="E52" s="310">
        <f t="array" ref="E52">IF($A52="",0,SUM(IF(Implemented_By_Column=E$48,IF(Activities_Column=$B52,Amount_Column,0))))</f>
        <v>0</v>
      </c>
      <c r="F52" s="310">
        <f t="array" ref="F52">IF($A52="",0,SUM(IF(Implemented_By_Column=F$48,IF(Activities_Column=$B52,Amount_Column,0))))</f>
        <v>0</v>
      </c>
      <c r="G52" s="310">
        <f t="array" ref="G52">IF($A52="",0,SUM(IF(Implemented_By_Column=G$48,IF(Activities_Column=$B52,Amount_Column,0))))</f>
        <v>0</v>
      </c>
      <c r="H52" s="300">
        <f t="shared" si="4"/>
        <v>0</v>
      </c>
      <c r="I52" s="326" t="e">
        <f t="shared" si="5"/>
        <v>#DIV/0!</v>
      </c>
      <c r="J52" s="218"/>
      <c r="K52" s="218"/>
      <c r="L52" s="219"/>
      <c r="M52" s="218"/>
      <c r="N52" s="218"/>
      <c r="O52" s="218"/>
      <c r="P52" s="218"/>
    </row>
    <row r="53" spans="1:16" s="291" customFormat="1" ht="28.5" customHeight="1" thickBot="1" x14ac:dyDescent="0.25">
      <c r="A53" s="311" t="str">
        <f>IF(Activity3_Name="","",Activity3_Name)</f>
        <v/>
      </c>
      <c r="B53" s="312" t="s">
        <v>477</v>
      </c>
      <c r="C53" s="310">
        <f t="array" ref="C53">IF($A53="",0,SUM(IF(Implemented_By_Column=C$48,IF(Activities_Column=$B53,Amount_Column,0))))</f>
        <v>0</v>
      </c>
      <c r="D53" s="310">
        <f t="array" ref="D53">IF($A53="",0,SUM(IF(Implemented_By_Column=D$48,IF(Activities_Column=$B53,Amount_Column,0))))</f>
        <v>0</v>
      </c>
      <c r="E53" s="310">
        <f t="array" ref="E53">IF($A53="",0,SUM(IF(Implemented_By_Column=E$48,IF(Activities_Column=$B53,Amount_Column,0))))</f>
        <v>0</v>
      </c>
      <c r="F53" s="310">
        <f t="array" ref="F53">IF($A53="",0,SUM(IF(Implemented_By_Column=F$48,IF(Activities_Column=$B53,Amount_Column,0))))</f>
        <v>0</v>
      </c>
      <c r="G53" s="310">
        <f t="array" ref="G53">IF($A53="",0,SUM(IF(Implemented_By_Column=G$48,IF(Activities_Column=$B53,Amount_Column,0))))</f>
        <v>0</v>
      </c>
      <c r="H53" s="300">
        <f t="shared" si="4"/>
        <v>0</v>
      </c>
      <c r="I53" s="326" t="e">
        <f t="shared" si="5"/>
        <v>#DIV/0!</v>
      </c>
      <c r="J53" s="218"/>
      <c r="K53" s="218"/>
      <c r="L53" s="219"/>
      <c r="M53" s="218"/>
      <c r="N53" s="218"/>
      <c r="O53" s="218"/>
      <c r="P53" s="218"/>
    </row>
    <row r="54" spans="1:16" s="291" customFormat="1" ht="28.5" customHeight="1" thickBot="1" x14ac:dyDescent="0.25">
      <c r="A54" s="311" t="str">
        <f>IF(Activity4_Name="","",Activity4_Name)</f>
        <v/>
      </c>
      <c r="B54" s="312" t="s">
        <v>478</v>
      </c>
      <c r="C54" s="310">
        <f t="array" ref="C54">IF($A54="",0,SUM(IF(Implemented_By_Column=C$48,IF(Activities_Column=$B54,Amount_Column,0))))</f>
        <v>0</v>
      </c>
      <c r="D54" s="310">
        <f t="array" ref="D54">IF($A54="",0,SUM(IF(Implemented_By_Column=D$48,IF(Activities_Column=$B54,Amount_Column,0))))</f>
        <v>0</v>
      </c>
      <c r="E54" s="310">
        <f t="array" ref="E54">IF($A54="",0,SUM(IF(Implemented_By_Column=E$48,IF(Activities_Column=$B54,Amount_Column,0))))</f>
        <v>0</v>
      </c>
      <c r="F54" s="310">
        <f t="array" ref="F54">IF($A54="",0,SUM(IF(Implemented_By_Column=F$48,IF(Activities_Column=$B54,Amount_Column,0))))</f>
        <v>0</v>
      </c>
      <c r="G54" s="310">
        <f t="array" ref="G54">IF($A54="",0,SUM(IF(Implemented_By_Column=G$48,IF(Activities_Column=$B54,Amount_Column,0))))</f>
        <v>0</v>
      </c>
      <c r="H54" s="300">
        <f t="shared" si="4"/>
        <v>0</v>
      </c>
      <c r="I54" s="326" t="e">
        <f t="shared" si="5"/>
        <v>#DIV/0!</v>
      </c>
      <c r="J54" s="218"/>
      <c r="K54" s="218"/>
      <c r="L54" s="219"/>
      <c r="M54" s="218"/>
      <c r="N54" s="218"/>
      <c r="O54" s="218"/>
      <c r="P54" s="218"/>
    </row>
    <row r="55" spans="1:16" s="291" customFormat="1" ht="28.5" customHeight="1" thickBot="1" x14ac:dyDescent="0.25">
      <c r="A55" s="311" t="str">
        <f>IF(Activity5_Name="","",Activity5_Name)</f>
        <v/>
      </c>
      <c r="B55" s="312" t="s">
        <v>479</v>
      </c>
      <c r="C55" s="310">
        <f t="array" ref="C55">IF($A55="",0,SUM(IF(Implemented_By_Column=C$48,IF(Activities_Column=$B55,Amount_Column,0))))</f>
        <v>0</v>
      </c>
      <c r="D55" s="310">
        <f t="array" ref="D55">IF($A55="",0,SUM(IF(Implemented_By_Column=D$48,IF(Activities_Column=$B55,Amount_Column,0))))</f>
        <v>0</v>
      </c>
      <c r="E55" s="310">
        <f t="array" ref="E55">IF($A55="",0,SUM(IF(Implemented_By_Column=E$48,IF(Activities_Column=$B55,Amount_Column,0))))</f>
        <v>0</v>
      </c>
      <c r="F55" s="310">
        <f t="array" ref="F55">IF($A55="",0,SUM(IF(Implemented_By_Column=F$48,IF(Activities_Column=$B55,Amount_Column,0))))</f>
        <v>0</v>
      </c>
      <c r="G55" s="310">
        <f t="array" ref="G55">IF($A55="",0,SUM(IF(Implemented_By_Column=G$48,IF(Activities_Column=$B55,Amount_Column,0))))</f>
        <v>0</v>
      </c>
      <c r="H55" s="300">
        <f t="shared" si="4"/>
        <v>0</v>
      </c>
      <c r="I55" s="326" t="e">
        <f t="shared" si="5"/>
        <v>#DIV/0!</v>
      </c>
      <c r="J55" s="218"/>
      <c r="K55" s="218"/>
      <c r="L55" s="219"/>
      <c r="M55" s="218"/>
      <c r="N55" s="218"/>
      <c r="O55" s="218"/>
      <c r="P55" s="218"/>
    </row>
    <row r="56" spans="1:16" s="291" customFormat="1" ht="28.5" customHeight="1" thickBot="1" x14ac:dyDescent="0.25">
      <c r="A56" s="311" t="str">
        <f>IF(Activity6_Name="","",Activity6_Name)</f>
        <v/>
      </c>
      <c r="B56" s="312" t="s">
        <v>480</v>
      </c>
      <c r="C56" s="310">
        <f t="array" ref="C56">IF($A56="",0,SUM(IF(Implemented_By_Column=C$48,IF(Activities_Column=$B56,Amount_Column,0))))</f>
        <v>0</v>
      </c>
      <c r="D56" s="310">
        <f t="array" ref="D56">IF($A56="",0,SUM(IF(Implemented_By_Column=D$48,IF(Activities_Column=$B56,Amount_Column,0))))</f>
        <v>0</v>
      </c>
      <c r="E56" s="310">
        <f t="array" ref="E56">IF($A56="",0,SUM(IF(Implemented_By_Column=E$48,IF(Activities_Column=$B56,Amount_Column,0))))</f>
        <v>0</v>
      </c>
      <c r="F56" s="310">
        <f t="array" ref="F56">IF($A56="",0,SUM(IF(Implemented_By_Column=F$48,IF(Activities_Column=$B56,Amount_Column,0))))</f>
        <v>0</v>
      </c>
      <c r="G56" s="310">
        <f t="array" ref="G56">IF($A56="",0,SUM(IF(Implemented_By_Column=G$48,IF(Activities_Column=$B56,Amount_Column,0))))</f>
        <v>0</v>
      </c>
      <c r="H56" s="300">
        <f t="shared" si="4"/>
        <v>0</v>
      </c>
      <c r="I56" s="326" t="e">
        <f t="shared" si="5"/>
        <v>#DIV/0!</v>
      </c>
      <c r="J56" s="218"/>
      <c r="K56" s="218"/>
      <c r="L56" s="219"/>
      <c r="M56" s="218"/>
      <c r="N56" s="218"/>
      <c r="O56" s="218"/>
      <c r="P56" s="218"/>
    </row>
    <row r="57" spans="1:16" s="291" customFormat="1" ht="28.5" customHeight="1" thickBot="1" x14ac:dyDescent="0.25">
      <c r="A57" s="311" t="str">
        <f>IF(Activity7_Name="","",Activity7_Name)</f>
        <v/>
      </c>
      <c r="B57" s="312" t="s">
        <v>481</v>
      </c>
      <c r="C57" s="310">
        <f t="array" ref="C57">IF($A57="",0,SUM(IF(Implemented_By_Column=C$48,IF(Activities_Column=$B57,Amount_Column,0))))</f>
        <v>0</v>
      </c>
      <c r="D57" s="310">
        <f t="array" ref="D57">IF($A57="",0,SUM(IF(Implemented_By_Column=D$48,IF(Activities_Column=$B57,Amount_Column,0))))</f>
        <v>0</v>
      </c>
      <c r="E57" s="310">
        <f t="array" ref="E57">IF($A57="",0,SUM(IF(Implemented_By_Column=E$48,IF(Activities_Column=$B57,Amount_Column,0))))</f>
        <v>0</v>
      </c>
      <c r="F57" s="310">
        <f t="array" ref="F57">IF($A57="",0,SUM(IF(Implemented_By_Column=F$48,IF(Activities_Column=$B57,Amount_Column,0))))</f>
        <v>0</v>
      </c>
      <c r="G57" s="310">
        <f t="array" ref="G57">IF($A57="",0,SUM(IF(Implemented_By_Column=G$48,IF(Activities_Column=$B57,Amount_Column,0))))</f>
        <v>0</v>
      </c>
      <c r="H57" s="300">
        <f t="shared" si="4"/>
        <v>0</v>
      </c>
      <c r="I57" s="326" t="e">
        <f t="shared" si="5"/>
        <v>#DIV/0!</v>
      </c>
      <c r="J57" s="218"/>
      <c r="K57" s="218"/>
      <c r="L57" s="219"/>
      <c r="M57" s="218"/>
      <c r="N57" s="218"/>
      <c r="O57" s="218"/>
      <c r="P57" s="218"/>
    </row>
    <row r="58" spans="1:16" s="291" customFormat="1" ht="28.5" customHeight="1" thickBot="1" x14ac:dyDescent="0.25">
      <c r="A58" s="311" t="str">
        <f>IF(Activity8_Name="","",Activity8_Name)</f>
        <v/>
      </c>
      <c r="B58" s="312" t="s">
        <v>482</v>
      </c>
      <c r="C58" s="310">
        <f t="array" ref="C58">IF($A58="",0,SUM(IF(Implemented_By_Column=C$48,IF(Activities_Column=$B58,Amount_Column,0))))</f>
        <v>0</v>
      </c>
      <c r="D58" s="310">
        <f t="array" ref="D58">IF($A58="",0,SUM(IF(Implemented_By_Column=D$48,IF(Activities_Column=$B58,Amount_Column,0))))</f>
        <v>0</v>
      </c>
      <c r="E58" s="310">
        <f t="array" ref="E58">IF($A58="",0,SUM(IF(Implemented_By_Column=E$48,IF(Activities_Column=$B58,Amount_Column,0))))</f>
        <v>0</v>
      </c>
      <c r="F58" s="310">
        <f t="array" ref="F58">IF($A58="",0,SUM(IF(Implemented_By_Column=F$48,IF(Activities_Column=$B58,Amount_Column,0))))</f>
        <v>0</v>
      </c>
      <c r="G58" s="310">
        <f t="array" ref="G58">IF($A58="",0,SUM(IF(Implemented_By_Column=G$48,IF(Activities_Column=$B58,Amount_Column,0))))</f>
        <v>0</v>
      </c>
      <c r="H58" s="300">
        <f t="shared" si="4"/>
        <v>0</v>
      </c>
      <c r="I58" s="326" t="e">
        <f>H58/H$59</f>
        <v>#DIV/0!</v>
      </c>
      <c r="J58" s="218"/>
      <c r="K58" s="218"/>
      <c r="L58" s="219"/>
      <c r="M58" s="218"/>
      <c r="N58" s="218"/>
      <c r="O58" s="218"/>
      <c r="P58" s="218"/>
    </row>
    <row r="59" spans="1:16" s="291" customFormat="1" ht="28.5" customHeight="1" thickBot="1" x14ac:dyDescent="0.25">
      <c r="A59" s="313"/>
      <c r="B59" s="314" t="s">
        <v>24</v>
      </c>
      <c r="C59" s="310">
        <f t="shared" ref="C59:H59" si="6">SUM(C50:C58)</f>
        <v>0</v>
      </c>
      <c r="D59" s="310">
        <f t="shared" si="6"/>
        <v>0</v>
      </c>
      <c r="E59" s="310">
        <f t="shared" si="6"/>
        <v>0</v>
      </c>
      <c r="F59" s="310">
        <f t="shared" si="6"/>
        <v>0</v>
      </c>
      <c r="G59" s="310">
        <f t="shared" si="6"/>
        <v>0</v>
      </c>
      <c r="H59" s="298">
        <f t="shared" si="6"/>
        <v>0</v>
      </c>
      <c r="I59" s="218"/>
      <c r="J59" s="218"/>
      <c r="K59" s="218"/>
      <c r="L59" s="219"/>
      <c r="M59" s="218"/>
      <c r="N59" s="218"/>
      <c r="O59" s="218"/>
      <c r="P59" s="218"/>
    </row>
    <row r="60" spans="1:16" s="291" customFormat="1" ht="28.5" customHeight="1" thickBot="1" x14ac:dyDescent="0.25">
      <c r="D60" s="219"/>
      <c r="E60" s="219"/>
      <c r="F60" s="219"/>
      <c r="G60" s="219"/>
      <c r="H60" s="219"/>
      <c r="I60" s="219"/>
      <c r="J60" s="219"/>
      <c r="K60" s="219"/>
      <c r="L60" s="219"/>
      <c r="M60" s="218"/>
      <c r="N60" s="218"/>
      <c r="O60" s="218"/>
      <c r="P60" s="218"/>
    </row>
    <row r="61" spans="1:16" s="291" customFormat="1" ht="45.75" customHeight="1" thickBot="1" x14ac:dyDescent="0.25">
      <c r="A61" s="315" t="s">
        <v>507</v>
      </c>
      <c r="B61" s="316" t="s">
        <v>467</v>
      </c>
      <c r="C61" s="307" t="s">
        <v>475</v>
      </c>
      <c r="D61" s="307" t="s">
        <v>476</v>
      </c>
      <c r="E61" s="307" t="s">
        <v>477</v>
      </c>
      <c r="F61" s="307" t="s">
        <v>478</v>
      </c>
      <c r="G61" s="307" t="s">
        <v>479</v>
      </c>
      <c r="H61" s="307" t="s">
        <v>480</v>
      </c>
      <c r="I61" s="307" t="s">
        <v>481</v>
      </c>
      <c r="J61" s="307" t="s">
        <v>482</v>
      </c>
      <c r="K61" s="317" t="s">
        <v>509</v>
      </c>
      <c r="L61" s="318" t="s">
        <v>508</v>
      </c>
      <c r="M61" s="218"/>
      <c r="N61" s="218"/>
      <c r="O61" s="218"/>
      <c r="P61" s="218"/>
    </row>
    <row r="62" spans="1:16" s="291" customFormat="1" ht="34.5" customHeight="1" thickBot="1" x14ac:dyDescent="0.25">
      <c r="A62" s="319" t="s">
        <v>505</v>
      </c>
      <c r="B62" s="320" t="str">
        <f>B61</f>
        <v>Project Management</v>
      </c>
      <c r="C62" s="320" t="str">
        <f>IF(Activity1_Name="","",Activity1_Name)</f>
        <v/>
      </c>
      <c r="D62" s="320" t="str">
        <f>IF(Activity2_Name="","",Activity2_Name)</f>
        <v/>
      </c>
      <c r="E62" s="320" t="str">
        <f>IF(Activity3_Name="","",Activity3_Name)</f>
        <v/>
      </c>
      <c r="F62" s="320" t="str">
        <f>IF(Activity4_Name="","",Activity4_Name)</f>
        <v/>
      </c>
      <c r="G62" s="320" t="str">
        <f>IF(Activity5_Name="","",Activity5_Name)</f>
        <v/>
      </c>
      <c r="H62" s="320" t="str">
        <f>IF(Activity6_Name="","",Activity6_Name)</f>
        <v/>
      </c>
      <c r="I62" s="320" t="str">
        <f>IF(Activity7_Name="","",Activity7_Name)</f>
        <v/>
      </c>
      <c r="J62" s="320" t="str">
        <f>IF(Activity8_Name="","",Activity8_Name)</f>
        <v/>
      </c>
      <c r="K62" s="321"/>
      <c r="L62" s="322"/>
      <c r="M62" s="218"/>
      <c r="N62" s="218"/>
      <c r="O62" s="218"/>
      <c r="P62" s="218"/>
    </row>
    <row r="63" spans="1:16" s="291" customFormat="1" ht="34.5" customHeight="1" thickBot="1" x14ac:dyDescent="0.25">
      <c r="A63" s="323" t="s">
        <v>438</v>
      </c>
      <c r="B63" s="324">
        <f t="array" ref="B63">SUM(IF(Type_Of_Expenditures_Column=$A63,IF(Activities_Column=B$61,Amount_Column),0))</f>
        <v>0</v>
      </c>
      <c r="C63" s="324">
        <f t="array" ref="C63">SUM(IF(Type_Of_Expenditures_Column=$A63,IF(Activities_Column=C$61,Amount_Column),0))</f>
        <v>0</v>
      </c>
      <c r="D63" s="324">
        <f t="array" ref="D63">SUM(IF(Type_Of_Expenditures_Column=$A63,IF(Activities_Column=D$61,Amount_Column),0))</f>
        <v>0</v>
      </c>
      <c r="E63" s="324">
        <f t="array" ref="E63">SUM(IF(Type_Of_Expenditures_Column=$A63,IF(Activities_Column=E$61,Amount_Column),0))</f>
        <v>0</v>
      </c>
      <c r="F63" s="324">
        <f t="array" ref="F63">SUM(IF(Type_Of_Expenditures_Column=$A63,IF(Activities_Column=F$61,Amount_Column),0))</f>
        <v>0</v>
      </c>
      <c r="G63" s="324">
        <f t="array" ref="G63">SUM(IF(Type_Of_Expenditures_Column=$A63,IF(Activities_Column=G$61,Amount_Column),0))</f>
        <v>0</v>
      </c>
      <c r="H63" s="324">
        <f t="array" ref="H63">SUM(IF(Type_Of_Expenditures_Column=$A63,IF(Activities_Column=H$61,Amount_Column),0))</f>
        <v>0</v>
      </c>
      <c r="I63" s="324">
        <f t="array" ref="I63">SUM(IF(Type_Of_Expenditures_Column=$A63,IF(Activities_Column=I$61,Amount_Column),0))</f>
        <v>0</v>
      </c>
      <c r="J63" s="324">
        <f t="array" ref="J63">SUM(IF(Type_Of_Expenditures_Column=$A63,IF(Activities_Column=J$61,Amount_Column),0))</f>
        <v>0</v>
      </c>
      <c r="K63" s="325">
        <f>SUM(B63:J63)</f>
        <v>0</v>
      </c>
      <c r="L63" s="326">
        <f t="shared" ref="L63:L72" si="7">IF($K$63=0,0,K63/$K$73)</f>
        <v>0</v>
      </c>
      <c r="M63" s="218"/>
      <c r="N63" s="218"/>
      <c r="O63" s="218"/>
      <c r="P63" s="218"/>
    </row>
    <row r="64" spans="1:16" ht="34.5" customHeight="1" thickBot="1" x14ac:dyDescent="0.25">
      <c r="A64" s="323" t="s">
        <v>439</v>
      </c>
      <c r="B64" s="324">
        <f t="array" ref="B64">SUM(IF(Type_Of_Expenditures_Column=$A64,IF(Activities_Column=B$61,Amount_Column),0))</f>
        <v>0</v>
      </c>
      <c r="C64" s="324">
        <f t="array" ref="C64">SUM(IF(Type_Of_Expenditures_Column=$A64,IF(Activities_Column=C$61,Amount_Column),0))</f>
        <v>0</v>
      </c>
      <c r="D64" s="324">
        <f t="array" ref="D64">SUM(IF(Type_Of_Expenditures_Column=$A64,IF(Activities_Column=D$61,Amount_Column),0))</f>
        <v>0</v>
      </c>
      <c r="E64" s="324">
        <f t="array" ref="E64">SUM(IF(Type_Of_Expenditures_Column=$A64,IF(Activities_Column=E$61,Amount_Column),0))</f>
        <v>0</v>
      </c>
      <c r="F64" s="324">
        <f t="array" ref="F64">SUM(IF(Type_Of_Expenditures_Column=$A64,IF(Activities_Column=F$61,Amount_Column),0))</f>
        <v>0</v>
      </c>
      <c r="G64" s="324">
        <f t="array" ref="G64">SUM(IF(Type_Of_Expenditures_Column=$A64,IF(Activities_Column=G$61,Amount_Column),0))</f>
        <v>0</v>
      </c>
      <c r="H64" s="324">
        <f t="array" ref="H64">SUM(IF(Type_Of_Expenditures_Column=$A64,IF(Activities_Column=H$61,Amount_Column),0))</f>
        <v>0</v>
      </c>
      <c r="I64" s="324">
        <f t="array" ref="I64">SUM(IF(Type_Of_Expenditures_Column=$A64,IF(Activities_Column=I$61,Amount_Column),0))</f>
        <v>0</v>
      </c>
      <c r="J64" s="324">
        <f t="array" ref="J64">SUM(IF(Type_Of_Expenditures_Column=$A64,IF(Activities_Column=J$61,Amount_Column),0))</f>
        <v>0</v>
      </c>
      <c r="K64" s="325">
        <f t="shared" ref="K64:K69" si="8">SUM(B64:J64)</f>
        <v>0</v>
      </c>
      <c r="L64" s="326">
        <f t="shared" si="7"/>
        <v>0</v>
      </c>
    </row>
    <row r="65" spans="1:12" ht="34.5" customHeight="1" thickBot="1" x14ac:dyDescent="0.25">
      <c r="A65" s="323" t="s">
        <v>440</v>
      </c>
      <c r="B65" s="324">
        <f t="array" ref="B65">SUM(IF(Type_Of_Expenditures_Column=$A65,IF(Activities_Column=B$61,Amount_Column),0))</f>
        <v>0</v>
      </c>
      <c r="C65" s="324">
        <f t="array" ref="C65">SUM(IF(Type_Of_Expenditures_Column=$A65,IF(Activities_Column=C$61,Amount_Column),0))</f>
        <v>0</v>
      </c>
      <c r="D65" s="324">
        <f t="array" ref="D65">SUM(IF(Type_Of_Expenditures_Column=$A65,IF(Activities_Column=D$61,Amount_Column),0))</f>
        <v>0</v>
      </c>
      <c r="E65" s="324">
        <f t="array" ref="E65">SUM(IF(Type_Of_Expenditures_Column=$A65,IF(Activities_Column=E$61,Amount_Column),0))</f>
        <v>0</v>
      </c>
      <c r="F65" s="324">
        <f t="array" ref="F65">SUM(IF(Type_Of_Expenditures_Column=$A65,IF(Activities_Column=F$61,Amount_Column),0))</f>
        <v>0</v>
      </c>
      <c r="G65" s="324">
        <f t="array" ref="G65">SUM(IF(Type_Of_Expenditures_Column=$A65,IF(Activities_Column=G$61,Amount_Column),0))</f>
        <v>0</v>
      </c>
      <c r="H65" s="324">
        <f t="array" ref="H65">SUM(IF(Type_Of_Expenditures_Column=$A65,IF(Activities_Column=H$61,Amount_Column),0))</f>
        <v>0</v>
      </c>
      <c r="I65" s="324">
        <f t="array" ref="I65">SUM(IF(Type_Of_Expenditures_Column=$A65,IF(Activities_Column=I$61,Amount_Column),0))</f>
        <v>0</v>
      </c>
      <c r="J65" s="324">
        <f t="array" ref="J65">SUM(IF(Type_Of_Expenditures_Column=$A65,IF(Activities_Column=J$61,Amount_Column),0))</f>
        <v>0</v>
      </c>
      <c r="K65" s="325">
        <f t="shared" si="8"/>
        <v>0</v>
      </c>
      <c r="L65" s="326">
        <f t="shared" si="7"/>
        <v>0</v>
      </c>
    </row>
    <row r="66" spans="1:12" ht="34.5" customHeight="1" thickBot="1" x14ac:dyDescent="0.25">
      <c r="A66" s="323" t="s">
        <v>433</v>
      </c>
      <c r="B66" s="324">
        <f t="array" ref="B66">SUM(IF(Type_Of_Expenditures_Column=$A66,IF(Activities_Column=B$61,Amount_Column),0))</f>
        <v>0</v>
      </c>
      <c r="C66" s="324">
        <f t="array" ref="C66">SUM(IF(Type_Of_Expenditures_Column=$A66,IF(Activities_Column=C$61,Amount_Column),0))</f>
        <v>0</v>
      </c>
      <c r="D66" s="324">
        <f t="array" ref="D66">SUM(IF(Type_Of_Expenditures_Column=$A66,IF(Activities_Column=D$61,Amount_Column),0))</f>
        <v>0</v>
      </c>
      <c r="E66" s="324">
        <f t="array" ref="E66">SUM(IF(Type_Of_Expenditures_Column=$A66,IF(Activities_Column=E$61,Amount_Column),0))</f>
        <v>0</v>
      </c>
      <c r="F66" s="324">
        <f t="array" ref="F66">SUM(IF(Type_Of_Expenditures_Column=$A66,IF(Activities_Column=F$61,Amount_Column),0))</f>
        <v>0</v>
      </c>
      <c r="G66" s="324">
        <f t="array" ref="G66">SUM(IF(Type_Of_Expenditures_Column=$A66,IF(Activities_Column=G$61,Amount_Column),0))</f>
        <v>0</v>
      </c>
      <c r="H66" s="324">
        <f t="array" ref="H66">SUM(IF(Type_Of_Expenditures_Column=$A66,IF(Activities_Column=H$61,Amount_Column),0))</f>
        <v>0</v>
      </c>
      <c r="I66" s="324">
        <f t="array" ref="I66">SUM(IF(Type_Of_Expenditures_Column=$A66,IF(Activities_Column=I$61,Amount_Column),0))</f>
        <v>0</v>
      </c>
      <c r="J66" s="324">
        <f t="array" ref="J66">SUM(IF(Type_Of_Expenditures_Column=$A66,IF(Activities_Column=J$61,Amount_Column),0))</f>
        <v>0</v>
      </c>
      <c r="K66" s="325">
        <f t="shared" si="8"/>
        <v>0</v>
      </c>
      <c r="L66" s="326">
        <f t="shared" si="7"/>
        <v>0</v>
      </c>
    </row>
    <row r="67" spans="1:12" ht="34.5" customHeight="1" thickBot="1" x14ac:dyDescent="0.25">
      <c r="A67" s="323" t="s">
        <v>434</v>
      </c>
      <c r="B67" s="324">
        <f t="array" ref="B67">SUM(IF(Type_Of_Expenditures_Column=$A67,IF(Activities_Column=B$61,Amount_Column),0))</f>
        <v>0</v>
      </c>
      <c r="C67" s="324">
        <f t="array" ref="C67">SUM(IF(Type_Of_Expenditures_Column=$A67,IF(Activities_Column=C$61,Amount_Column),0))</f>
        <v>0</v>
      </c>
      <c r="D67" s="324">
        <f t="array" ref="D67">SUM(IF(Type_Of_Expenditures_Column=$A67,IF(Activities_Column=D$61,Amount_Column),0))</f>
        <v>0</v>
      </c>
      <c r="E67" s="324">
        <f t="array" ref="E67">SUM(IF(Type_Of_Expenditures_Column=$A67,IF(Activities_Column=E$61,Amount_Column),0))</f>
        <v>0</v>
      </c>
      <c r="F67" s="324">
        <f t="array" ref="F67">SUM(IF(Type_Of_Expenditures_Column=$A67,IF(Activities_Column=F$61,Amount_Column),0))</f>
        <v>0</v>
      </c>
      <c r="G67" s="324">
        <f t="array" ref="G67">SUM(IF(Type_Of_Expenditures_Column=$A67,IF(Activities_Column=G$61,Amount_Column),0))</f>
        <v>0</v>
      </c>
      <c r="H67" s="324">
        <f t="array" ref="H67">SUM(IF(Type_Of_Expenditures_Column=$A67,IF(Activities_Column=H$61,Amount_Column),0))</f>
        <v>0</v>
      </c>
      <c r="I67" s="324">
        <f t="array" ref="I67">SUM(IF(Type_Of_Expenditures_Column=$A67,IF(Activities_Column=I$61,Amount_Column),0))</f>
        <v>0</v>
      </c>
      <c r="J67" s="324">
        <f t="array" ref="J67">SUM(IF(Type_Of_Expenditures_Column=$A67,IF(Activities_Column=J$61,Amount_Column),0))</f>
        <v>0</v>
      </c>
      <c r="K67" s="325">
        <f t="shared" si="8"/>
        <v>0</v>
      </c>
      <c r="L67" s="326">
        <f t="shared" si="7"/>
        <v>0</v>
      </c>
    </row>
    <row r="68" spans="1:12" ht="34.5" customHeight="1" thickBot="1" x14ac:dyDescent="0.25">
      <c r="A68" s="323" t="s">
        <v>435</v>
      </c>
      <c r="B68" s="324">
        <f t="array" ref="B68">SUM(IF(Type_Of_Expenditures_Column=$A68,IF(Activities_Column=B$61,Amount_Column),0))</f>
        <v>0</v>
      </c>
      <c r="C68" s="324">
        <f t="array" ref="C68">SUM(IF(Type_Of_Expenditures_Column=$A68,IF(Activities_Column=C$61,Amount_Column),0))</f>
        <v>0</v>
      </c>
      <c r="D68" s="324">
        <f t="array" ref="D68">SUM(IF(Type_Of_Expenditures_Column=$A68,IF(Activities_Column=D$61,Amount_Column),0))</f>
        <v>0</v>
      </c>
      <c r="E68" s="324">
        <f t="array" ref="E68">SUM(IF(Type_Of_Expenditures_Column=$A68,IF(Activities_Column=E$61,Amount_Column),0))</f>
        <v>0</v>
      </c>
      <c r="F68" s="324">
        <f t="array" ref="F68">SUM(IF(Type_Of_Expenditures_Column=$A68,IF(Activities_Column=F$61,Amount_Column),0))</f>
        <v>0</v>
      </c>
      <c r="G68" s="324">
        <f t="array" ref="G68">SUM(IF(Type_Of_Expenditures_Column=$A68,IF(Activities_Column=G$61,Amount_Column),0))</f>
        <v>0</v>
      </c>
      <c r="H68" s="324">
        <f t="array" ref="H68">SUM(IF(Type_Of_Expenditures_Column=$A68,IF(Activities_Column=H$61,Amount_Column),0))</f>
        <v>0</v>
      </c>
      <c r="I68" s="324">
        <f t="array" ref="I68">SUM(IF(Type_Of_Expenditures_Column=$A68,IF(Activities_Column=I$61,Amount_Column),0))</f>
        <v>0</v>
      </c>
      <c r="J68" s="324">
        <f t="array" ref="J68">SUM(IF(Type_Of_Expenditures_Column=$A68,IF(Activities_Column=J$61,Amount_Column),0))</f>
        <v>0</v>
      </c>
      <c r="K68" s="325">
        <f t="shared" si="8"/>
        <v>0</v>
      </c>
      <c r="L68" s="326">
        <f t="shared" si="7"/>
        <v>0</v>
      </c>
    </row>
    <row r="69" spans="1:12" ht="34.5" customHeight="1" thickBot="1" x14ac:dyDescent="0.25">
      <c r="A69" s="323" t="s">
        <v>436</v>
      </c>
      <c r="B69" s="324">
        <f t="array" ref="B69">SUM(IF(Type_Of_Expenditures_Column=$A69,IF(Activities_Column=B$61,Amount_Column),0))</f>
        <v>0</v>
      </c>
      <c r="C69" s="324">
        <f t="array" ref="C69">SUM(IF(Type_Of_Expenditures_Column=$A69,IF(Activities_Column=C$61,Amount_Column),0))</f>
        <v>0</v>
      </c>
      <c r="D69" s="324">
        <f t="array" ref="D69">SUM(IF(Type_Of_Expenditures_Column=$A69,IF(Activities_Column=D$61,Amount_Column),0))</f>
        <v>0</v>
      </c>
      <c r="E69" s="324">
        <f t="array" ref="E69">SUM(IF(Type_Of_Expenditures_Column=$A69,IF(Activities_Column=E$61,Amount_Column),0))</f>
        <v>0</v>
      </c>
      <c r="F69" s="324">
        <f t="array" ref="F69">SUM(IF(Type_Of_Expenditures_Column=$A69,IF(Activities_Column=F$61,Amount_Column),0))</f>
        <v>0</v>
      </c>
      <c r="G69" s="324">
        <f t="array" ref="G69">SUM(IF(Type_Of_Expenditures_Column=$A69,IF(Activities_Column=G$61,Amount_Column),0))</f>
        <v>0</v>
      </c>
      <c r="H69" s="324">
        <f t="array" ref="H69">SUM(IF(Type_Of_Expenditures_Column=$A69,IF(Activities_Column=H$61,Amount_Column),0))</f>
        <v>0</v>
      </c>
      <c r="I69" s="324">
        <f t="array" ref="I69">SUM(IF(Type_Of_Expenditures_Column=$A69,IF(Activities_Column=I$61,Amount_Column),0))</f>
        <v>0</v>
      </c>
      <c r="J69" s="324">
        <f t="array" ref="J69">SUM(IF(Type_Of_Expenditures_Column=$A69,IF(Activities_Column=J$61,Amount_Column),0))</f>
        <v>0</v>
      </c>
      <c r="K69" s="325">
        <f t="shared" si="8"/>
        <v>0</v>
      </c>
      <c r="L69" s="326">
        <f t="shared" si="7"/>
        <v>0</v>
      </c>
    </row>
    <row r="70" spans="1:12" ht="34.5" customHeight="1" thickBot="1" x14ac:dyDescent="0.25">
      <c r="A70" s="323" t="s">
        <v>503</v>
      </c>
      <c r="B70" s="681"/>
      <c r="C70" s="681"/>
      <c r="D70" s="681"/>
      <c r="E70" s="681"/>
      <c r="F70" s="681"/>
      <c r="G70" s="327"/>
      <c r="H70" s="327"/>
      <c r="I70" s="327"/>
      <c r="J70" s="328"/>
      <c r="K70" s="329">
        <f>amount_indirect_costs</f>
        <v>0</v>
      </c>
      <c r="L70" s="326">
        <f t="shared" si="7"/>
        <v>0</v>
      </c>
    </row>
    <row r="71" spans="1:12" ht="34.5" customHeight="1" thickBot="1" x14ac:dyDescent="0.25">
      <c r="A71" s="323" t="s">
        <v>1063</v>
      </c>
      <c r="B71" s="359"/>
      <c r="C71" s="359"/>
      <c r="D71" s="359"/>
      <c r="E71" s="359"/>
      <c r="F71" s="359"/>
      <c r="G71" s="359"/>
      <c r="H71" s="359"/>
      <c r="I71" s="359"/>
      <c r="J71" s="360"/>
      <c r="K71" s="329">
        <f>reserve_total</f>
        <v>0</v>
      </c>
      <c r="L71" s="326">
        <f t="shared" si="7"/>
        <v>0</v>
      </c>
    </row>
    <row r="72" spans="1:12" ht="34.5" customHeight="1" thickBot="1" x14ac:dyDescent="0.25">
      <c r="A72" s="323" t="s">
        <v>1064</v>
      </c>
      <c r="B72" s="359"/>
      <c r="C72" s="359"/>
      <c r="D72" s="359"/>
      <c r="E72" s="359"/>
      <c r="F72" s="359"/>
      <c r="G72" s="359"/>
      <c r="H72" s="359"/>
      <c r="I72" s="359"/>
      <c r="J72" s="360"/>
      <c r="K72" s="329">
        <f>in_kind_total</f>
        <v>0</v>
      </c>
      <c r="L72" s="326">
        <f t="shared" si="7"/>
        <v>0</v>
      </c>
    </row>
    <row r="73" spans="1:12" ht="34.5" customHeight="1" thickBot="1" x14ac:dyDescent="0.25">
      <c r="A73" s="307" t="s">
        <v>504</v>
      </c>
      <c r="B73" s="330">
        <f t="shared" ref="B73:J73" si="9">SUM(B63:B69)</f>
        <v>0</v>
      </c>
      <c r="C73" s="330">
        <f t="shared" si="9"/>
        <v>0</v>
      </c>
      <c r="D73" s="330">
        <f t="shared" si="9"/>
        <v>0</v>
      </c>
      <c r="E73" s="330">
        <f t="shared" si="9"/>
        <v>0</v>
      </c>
      <c r="F73" s="330">
        <f t="shared" si="9"/>
        <v>0</v>
      </c>
      <c r="G73" s="330">
        <f t="shared" si="9"/>
        <v>0</v>
      </c>
      <c r="H73" s="330">
        <f t="shared" si="9"/>
        <v>0</v>
      </c>
      <c r="I73" s="330">
        <f t="shared" si="9"/>
        <v>0</v>
      </c>
      <c r="J73" s="330">
        <f t="shared" si="9"/>
        <v>0</v>
      </c>
      <c r="K73" s="331">
        <f>SUM(K63:K72)</f>
        <v>0</v>
      </c>
      <c r="L73" s="332"/>
    </row>
    <row r="74" spans="1:12" ht="34.5" customHeight="1" thickBot="1" x14ac:dyDescent="0.25">
      <c r="A74" s="307" t="s">
        <v>1374</v>
      </c>
      <c r="B74" s="333">
        <f>IF($K73=0,0,B73/$K$73)</f>
        <v>0</v>
      </c>
      <c r="C74" s="333">
        <f t="shared" ref="C74:J74" si="10">IF($K73=0,0,C73/$K$73)</f>
        <v>0</v>
      </c>
      <c r="D74" s="333">
        <f t="shared" si="10"/>
        <v>0</v>
      </c>
      <c r="E74" s="333">
        <f t="shared" si="10"/>
        <v>0</v>
      </c>
      <c r="F74" s="333">
        <f t="shared" si="10"/>
        <v>0</v>
      </c>
      <c r="G74" s="333">
        <f t="shared" si="10"/>
        <v>0</v>
      </c>
      <c r="H74" s="333">
        <f t="shared" si="10"/>
        <v>0</v>
      </c>
      <c r="I74" s="333">
        <f t="shared" si="10"/>
        <v>0</v>
      </c>
      <c r="J74" s="333">
        <f t="shared" si="10"/>
        <v>0</v>
      </c>
      <c r="K74" s="334" t="e">
        <f>K73/K73</f>
        <v>#DIV/0!</v>
      </c>
      <c r="L74" s="335"/>
    </row>
    <row r="78" spans="1:12" ht="12" thickBot="1" x14ac:dyDescent="0.25"/>
    <row r="79" spans="1:12" ht="42.75" customHeight="1" x14ac:dyDescent="0.2">
      <c r="A79" s="370" t="s">
        <v>1069</v>
      </c>
      <c r="B79" s="374" t="s">
        <v>1070</v>
      </c>
      <c r="C79" s="373" t="s">
        <v>1071</v>
      </c>
    </row>
    <row r="80" spans="1:12" ht="42.75" customHeight="1" x14ac:dyDescent="0.2">
      <c r="A80" s="371">
        <f t="array" ref="A80">INDEX(expenditure_items_list,MATCH(LARGE(Amount_Column-ROW(Amount_Column)/10^5,ROWS($1:1)),Amount_Column-ROW(Amount_Column)/10^5,0))</f>
        <v>0</v>
      </c>
      <c r="B80" s="375">
        <f t="shared" ref="B80:B89" si="11">LARGE(Amount_Column,ROW(A1))</f>
        <v>0</v>
      </c>
      <c r="C80" s="376" t="e">
        <f t="shared" ref="C80:C89" si="12">B80/total_eligible_expenditure_total</f>
        <v>#DIV/0!</v>
      </c>
    </row>
    <row r="81" spans="1:4" ht="42.75" customHeight="1" x14ac:dyDescent="0.2">
      <c r="A81" s="371">
        <f t="array" ref="A81">INDEX(expenditure_items_list,MATCH(LARGE(Amount_Column-ROW(Amount_Column)/10^5,ROWS($1:2)),Amount_Column-ROW(Amount_Column)/10^5,0))</f>
        <v>0</v>
      </c>
      <c r="B81" s="375">
        <f t="shared" si="11"/>
        <v>0</v>
      </c>
      <c r="C81" s="376" t="e">
        <f t="shared" si="12"/>
        <v>#DIV/0!</v>
      </c>
    </row>
    <row r="82" spans="1:4" ht="42.75" customHeight="1" x14ac:dyDescent="0.2">
      <c r="A82" s="371">
        <f t="array" ref="A82">INDEX(expenditure_items_list,MATCH(LARGE(Amount_Column-ROW(Amount_Column)/10^5,ROWS($1:3)),Amount_Column-ROW(Amount_Column)/10^5,0))</f>
        <v>0</v>
      </c>
      <c r="B82" s="375">
        <f t="shared" si="11"/>
        <v>0</v>
      </c>
      <c r="C82" s="376" t="e">
        <f t="shared" si="12"/>
        <v>#DIV/0!</v>
      </c>
    </row>
    <row r="83" spans="1:4" ht="42.75" customHeight="1" x14ac:dyDescent="0.2">
      <c r="A83" s="371">
        <f t="array" ref="A83">INDEX(expenditure_items_list,MATCH(LARGE(Amount_Column-ROW(Amount_Column)/10^5,ROWS($1:4)),Amount_Column-ROW(Amount_Column)/10^5,0))</f>
        <v>0</v>
      </c>
      <c r="B83" s="375">
        <f t="shared" si="11"/>
        <v>0</v>
      </c>
      <c r="C83" s="376" t="e">
        <f t="shared" si="12"/>
        <v>#DIV/0!</v>
      </c>
    </row>
    <row r="84" spans="1:4" ht="42.75" customHeight="1" x14ac:dyDescent="0.2">
      <c r="A84" s="371">
        <f t="array" ref="A84">INDEX(expenditure_items_list,MATCH(LARGE(Amount_Column-ROW(Amount_Column)/10^5,ROWS($1:5)),Amount_Column-ROW(Amount_Column)/10^5,0))</f>
        <v>0</v>
      </c>
      <c r="B84" s="375">
        <f t="shared" si="11"/>
        <v>0</v>
      </c>
      <c r="C84" s="376" t="e">
        <f t="shared" si="12"/>
        <v>#DIV/0!</v>
      </c>
    </row>
    <row r="85" spans="1:4" ht="42.75" customHeight="1" x14ac:dyDescent="0.2">
      <c r="A85" s="371">
        <f t="array" ref="A85">INDEX(expenditure_items_list,MATCH(LARGE(Amount_Column-ROW(Amount_Column)/10^5,ROWS($1:6)),Amount_Column-ROW(Amount_Column)/10^5,0))</f>
        <v>0</v>
      </c>
      <c r="B85" s="375">
        <f t="shared" si="11"/>
        <v>0</v>
      </c>
      <c r="C85" s="376" t="e">
        <f t="shared" si="12"/>
        <v>#DIV/0!</v>
      </c>
    </row>
    <row r="86" spans="1:4" ht="42.75" customHeight="1" x14ac:dyDescent="0.2">
      <c r="A86" s="371">
        <f t="array" ref="A86">INDEX(expenditure_items_list,MATCH(LARGE(Amount_Column-ROW(Amount_Column)/10^5,ROWS($1:7)),Amount_Column-ROW(Amount_Column)/10^5,0))</f>
        <v>0</v>
      </c>
      <c r="B86" s="375">
        <f t="shared" si="11"/>
        <v>0</v>
      </c>
      <c r="C86" s="376" t="e">
        <f t="shared" si="12"/>
        <v>#DIV/0!</v>
      </c>
    </row>
    <row r="87" spans="1:4" ht="42.75" customHeight="1" x14ac:dyDescent="0.2">
      <c r="A87" s="371">
        <f t="array" ref="A87">INDEX(expenditure_items_list,MATCH(LARGE(Amount_Column-ROW(Amount_Column)/10^5,ROWS($1:8)),Amount_Column-ROW(Amount_Column)/10^5,0))</f>
        <v>0</v>
      </c>
      <c r="B87" s="375">
        <f t="shared" si="11"/>
        <v>0</v>
      </c>
      <c r="C87" s="376" t="e">
        <f t="shared" si="12"/>
        <v>#DIV/0!</v>
      </c>
    </row>
    <row r="88" spans="1:4" ht="42.75" customHeight="1" x14ac:dyDescent="0.2">
      <c r="A88" s="371">
        <f t="array" ref="A88">INDEX(expenditure_items_list,MATCH(LARGE(Amount_Column-ROW(Amount_Column)/10^5,ROWS($1:9)),Amount_Column-ROW(Amount_Column)/10^5,0))</f>
        <v>0</v>
      </c>
      <c r="B88" s="375">
        <f t="shared" si="11"/>
        <v>0</v>
      </c>
      <c r="C88" s="376" t="e">
        <f t="shared" si="12"/>
        <v>#DIV/0!</v>
      </c>
    </row>
    <row r="89" spans="1:4" ht="42.75" customHeight="1" thickBot="1" x14ac:dyDescent="0.25">
      <c r="A89" s="372">
        <f t="array" ref="A89">INDEX(expenditure_items_list,MATCH(LARGE(Amount_Column-ROW(Amount_Column)/10^5,ROWS($1:10)),Amount_Column-ROW(Amount_Column)/10^5,0))</f>
        <v>0</v>
      </c>
      <c r="B89" s="377">
        <f t="shared" si="11"/>
        <v>0</v>
      </c>
      <c r="C89" s="378" t="e">
        <f t="shared" si="12"/>
        <v>#DIV/0!</v>
      </c>
    </row>
    <row r="92" spans="1:4" x14ac:dyDescent="0.2">
      <c r="A92" s="429" t="s">
        <v>1315</v>
      </c>
    </row>
    <row r="95" spans="1:4" ht="12" thickBot="1" x14ac:dyDescent="0.25"/>
    <row r="96" spans="1:4" ht="12" thickTop="1" x14ac:dyDescent="0.2">
      <c r="A96" s="421" t="s">
        <v>958</v>
      </c>
      <c r="B96" s="422" t="str">
        <f>Applicant!J711</f>
        <v>Started</v>
      </c>
      <c r="C96" s="423" t="s">
        <v>1311</v>
      </c>
      <c r="D96" s="424"/>
    </row>
    <row r="97" spans="1:8" x14ac:dyDescent="0.2">
      <c r="A97" s="419">
        <f>IF(ISBLANK(Applicant!C712),0,Applicant!C712)</f>
        <v>0</v>
      </c>
      <c r="B97" s="425">
        <f>IF(ISBLANK(Applicant!$J712),0,IFERROR(VALUE(SUBSTITUTE(SUBSTITUTE(Applicant!$J712,"within ",""), " months", "")),0))</f>
        <v>0</v>
      </c>
      <c r="C97" s="426">
        <f>IF(ISNUMBER(Applicant!L712),Applicant!L712,0)</f>
        <v>0</v>
      </c>
      <c r="D97" s="418"/>
      <c r="G97" s="418"/>
      <c r="H97" s="418"/>
    </row>
    <row r="98" spans="1:8" x14ac:dyDescent="0.2">
      <c r="A98" s="419">
        <f>IF(ISBLANK(Applicant!C713),0,Applicant!C713)</f>
        <v>0</v>
      </c>
      <c r="B98" s="425">
        <f>IF(ISBLANK(Applicant!$J713),0,IFERROR(VALUE(SUBSTITUTE(SUBSTITUTE(Applicant!$J713,"within ",""), " months", "")),0))</f>
        <v>0</v>
      </c>
      <c r="C98" s="426">
        <f>IF(ISNUMBER(Applicant!L713),Applicant!L713,0)</f>
        <v>0</v>
      </c>
      <c r="D98" s="418"/>
      <c r="G98" s="418"/>
      <c r="H98" s="418"/>
    </row>
    <row r="99" spans="1:8" x14ac:dyDescent="0.2">
      <c r="A99" s="419">
        <f>IF(ISBLANK(Applicant!C714),0,Applicant!C714)</f>
        <v>0</v>
      </c>
      <c r="B99" s="425">
        <f>IF(ISBLANK(Applicant!$J714),0,IFERROR(VALUE(SUBSTITUTE(SUBSTITUTE(Applicant!$J714,"within ",""), " months", "")),0))</f>
        <v>0</v>
      </c>
      <c r="C99" s="426">
        <f>IF(ISNUMBER(Applicant!L714),Applicant!L714,0)</f>
        <v>0</v>
      </c>
      <c r="D99" s="418"/>
      <c r="F99" s="418"/>
      <c r="G99" s="418"/>
      <c r="H99" s="418"/>
    </row>
    <row r="100" spans="1:8" x14ac:dyDescent="0.2">
      <c r="A100" s="419">
        <f>IF(ISBLANK(Applicant!C715),0,Applicant!C715)</f>
        <v>0</v>
      </c>
      <c r="B100" s="425">
        <f>IF(ISBLANK(Applicant!$J715),0,IFERROR(VALUE(SUBSTITUTE(SUBSTITUTE(Applicant!$J715,"within ",""), " months", "")),0))</f>
        <v>0</v>
      </c>
      <c r="C100" s="426">
        <f>IF(ISNUMBER(Applicant!L715),Applicant!L715,0)</f>
        <v>0</v>
      </c>
      <c r="D100" s="418"/>
      <c r="F100" s="418"/>
      <c r="G100" s="418"/>
      <c r="H100" s="418"/>
    </row>
    <row r="101" spans="1:8" x14ac:dyDescent="0.2">
      <c r="A101" s="419">
        <f>IF(ISBLANK(Applicant!C716),0,Applicant!C716)</f>
        <v>0</v>
      </c>
      <c r="B101" s="425">
        <f>IF(ISBLANK(Applicant!$J716),0,IFERROR(VALUE(SUBSTITUTE(SUBSTITUTE(Applicant!$J716,"within ",""), " months", "")),0))</f>
        <v>0</v>
      </c>
      <c r="C101" s="426">
        <f>IF(ISNUMBER(Applicant!L716),Applicant!L716,0)</f>
        <v>0</v>
      </c>
      <c r="D101" s="418"/>
      <c r="F101" s="418"/>
      <c r="G101" s="418"/>
      <c r="H101" s="418"/>
    </row>
    <row r="102" spans="1:8" x14ac:dyDescent="0.2">
      <c r="A102" s="419">
        <f>IF(ISBLANK(Applicant!C717),0,Applicant!C717)</f>
        <v>0</v>
      </c>
      <c r="B102" s="425">
        <f>IF(ISBLANK(Applicant!$J717),0,IFERROR(VALUE(SUBSTITUTE(SUBSTITUTE(Applicant!$J717,"within ",""), " months", "")),0))</f>
        <v>0</v>
      </c>
      <c r="C102" s="426">
        <f>IF(ISNUMBER(Applicant!L717),Applicant!L717,0)</f>
        <v>0</v>
      </c>
      <c r="D102" s="418"/>
      <c r="F102" s="418"/>
      <c r="G102" s="418"/>
      <c r="H102" s="418"/>
    </row>
    <row r="103" spans="1:8" x14ac:dyDescent="0.2">
      <c r="A103" s="419">
        <f>IF(ISBLANK(Applicant!C718),0,Applicant!C718)</f>
        <v>0</v>
      </c>
      <c r="B103" s="425">
        <f>IF(ISBLANK(Applicant!$J718),0,IFERROR(VALUE(SUBSTITUTE(SUBSTITUTE(Applicant!$J718,"within ",""), " months", "")),0))</f>
        <v>0</v>
      </c>
      <c r="C103" s="426">
        <f>IF(ISNUMBER(Applicant!L718),Applicant!L718,0)</f>
        <v>0</v>
      </c>
      <c r="D103" s="418"/>
      <c r="F103" s="418"/>
      <c r="G103" s="418"/>
      <c r="H103" s="418"/>
    </row>
    <row r="104" spans="1:8" x14ac:dyDescent="0.2">
      <c r="A104" s="419">
        <f>IF(ISBLANK(Applicant!C719),0,Applicant!C719)</f>
        <v>0</v>
      </c>
      <c r="B104" s="425">
        <f>IF(ISBLANK(Applicant!$J719),0,IFERROR(VALUE(SUBSTITUTE(SUBSTITUTE(Applicant!$J719,"within ",""), " months", "")),0))</f>
        <v>0</v>
      </c>
      <c r="C104" s="426">
        <f>IF(ISNUMBER(Applicant!L719),Applicant!L719,0)</f>
        <v>0</v>
      </c>
      <c r="D104" s="418"/>
      <c r="F104" s="418"/>
      <c r="G104" s="418"/>
      <c r="H104" s="418"/>
    </row>
    <row r="105" spans="1:8" x14ac:dyDescent="0.2">
      <c r="A105" s="419">
        <f>IF(ISBLANK(Applicant!C720),0,Applicant!C720)</f>
        <v>0</v>
      </c>
      <c r="B105" s="425">
        <f>IF(ISBLANK(Applicant!$J720),0,IFERROR(VALUE(SUBSTITUTE(SUBSTITUTE(Applicant!$J720,"within ",""), " months", "")),0))</f>
        <v>0</v>
      </c>
      <c r="C105" s="426">
        <f>IF(ISNUMBER(Applicant!L720),Applicant!L720,0)</f>
        <v>0</v>
      </c>
      <c r="D105" s="418"/>
      <c r="F105" s="418"/>
      <c r="G105" s="418"/>
      <c r="H105" s="418"/>
    </row>
    <row r="106" spans="1:8" x14ac:dyDescent="0.2">
      <c r="A106" s="419">
        <f>IF(ISBLANK(Applicant!C721),0,Applicant!C721)</f>
        <v>0</v>
      </c>
      <c r="B106" s="425">
        <f>IF(ISBLANK(Applicant!$J721),0,IFERROR(VALUE(SUBSTITUTE(SUBSTITUTE(Applicant!$J721,"within ",""), " months", "")),0))</f>
        <v>0</v>
      </c>
      <c r="C106" s="426">
        <f>IF(ISNUMBER(Applicant!L721),Applicant!L721,0)</f>
        <v>0</v>
      </c>
      <c r="D106" s="418"/>
      <c r="F106" s="418"/>
      <c r="G106" s="418"/>
      <c r="H106" s="418"/>
    </row>
    <row r="107" spans="1:8" x14ac:dyDescent="0.2">
      <c r="A107" s="419">
        <f>IF(ISBLANK(Applicant!C722),0,Applicant!C722)</f>
        <v>0</v>
      </c>
      <c r="B107" s="425">
        <f>IF(ISBLANK(Applicant!$J722),0,IFERROR(VALUE(SUBSTITUTE(SUBSTITUTE(Applicant!$J722,"within ",""), " months", "")),0))</f>
        <v>0</v>
      </c>
      <c r="C107" s="426">
        <f>IF(ISNUMBER(Applicant!L722),Applicant!L722,0)</f>
        <v>0</v>
      </c>
      <c r="D107" s="418"/>
      <c r="F107" s="418"/>
      <c r="G107" s="418"/>
      <c r="H107" s="418"/>
    </row>
    <row r="108" spans="1:8" x14ac:dyDescent="0.2">
      <c r="A108" s="419">
        <f>IF(ISBLANK(Applicant!C723),0,Applicant!C723)</f>
        <v>0</v>
      </c>
      <c r="B108" s="425">
        <f>IF(ISBLANK(Applicant!$J723),0,IFERROR(VALUE(SUBSTITUTE(SUBSTITUTE(Applicant!$J723,"within ",""), " months", "")),0))</f>
        <v>0</v>
      </c>
      <c r="C108" s="426">
        <f>IF(ISNUMBER(Applicant!L723),Applicant!L723,0)</f>
        <v>0</v>
      </c>
      <c r="D108" s="418"/>
      <c r="F108" s="418"/>
      <c r="G108" s="418"/>
      <c r="H108" s="418"/>
    </row>
    <row r="109" spans="1:8" x14ac:dyDescent="0.2">
      <c r="A109" s="419">
        <f>IF(ISBLANK(Applicant!C724),0,Applicant!C724)</f>
        <v>0</v>
      </c>
      <c r="B109" s="425">
        <f>IF(ISBLANK(Applicant!$J724),0,IFERROR(VALUE(SUBSTITUTE(SUBSTITUTE(Applicant!$J724,"within ",""), " months", "")),0))</f>
        <v>0</v>
      </c>
      <c r="C109" s="426">
        <f>IF(ISNUMBER(Applicant!L724),Applicant!L724,0)</f>
        <v>0</v>
      </c>
      <c r="D109" s="418"/>
      <c r="F109" s="418"/>
      <c r="G109" s="418"/>
      <c r="H109" s="418"/>
    </row>
    <row r="110" spans="1:8" x14ac:dyDescent="0.2">
      <c r="A110" s="419">
        <f>IF(ISBLANK(Applicant!C725),0,Applicant!C725)</f>
        <v>0</v>
      </c>
      <c r="B110" s="425">
        <f>IF(ISBLANK(Applicant!$J725),0,IFERROR(VALUE(SUBSTITUTE(SUBSTITUTE(Applicant!$J725,"within ",""), " months", "")),0))</f>
        <v>0</v>
      </c>
      <c r="C110" s="426">
        <f>IF(ISNUMBER(Applicant!L725),Applicant!L725,0)</f>
        <v>0</v>
      </c>
      <c r="D110" s="418"/>
      <c r="F110" s="418"/>
      <c r="G110" s="418"/>
      <c r="H110" s="418"/>
    </row>
    <row r="111" spans="1:8" x14ac:dyDescent="0.2">
      <c r="A111" s="419">
        <f>IF(ISBLANK(Applicant!C726),0,Applicant!C726)</f>
        <v>0</v>
      </c>
      <c r="B111" s="425">
        <f>IF(ISBLANK(Applicant!$J726),0,IFERROR(VALUE(SUBSTITUTE(SUBSTITUTE(Applicant!$J726,"within ",""), " months", "")),0))</f>
        <v>0</v>
      </c>
      <c r="C111" s="426">
        <f>IF(ISNUMBER(Applicant!L726),Applicant!L726,0)</f>
        <v>0</v>
      </c>
      <c r="D111" s="418"/>
      <c r="F111" s="418"/>
      <c r="G111" s="418"/>
      <c r="H111" s="418"/>
    </row>
    <row r="112" spans="1:8" x14ac:dyDescent="0.2">
      <c r="A112" s="419">
        <f>IF(ISBLANK(Applicant!C727),0,Applicant!C727)</f>
        <v>0</v>
      </c>
      <c r="B112" s="425">
        <f>IF(ISBLANK(Applicant!$J727),0,IFERROR(VALUE(SUBSTITUTE(SUBSTITUTE(Applicant!$J727,"within ",""), " months", "")),0))</f>
        <v>0</v>
      </c>
      <c r="C112" s="426">
        <f>IF(ISNUMBER(Applicant!L727),Applicant!L727,0)</f>
        <v>0</v>
      </c>
      <c r="D112" s="418"/>
      <c r="F112" s="418"/>
      <c r="G112" s="418"/>
      <c r="H112" s="418"/>
    </row>
    <row r="113" spans="1:8" x14ac:dyDescent="0.2">
      <c r="A113" s="419">
        <f>IF(ISBLANK(Applicant!C728),0,Applicant!C728)</f>
        <v>0</v>
      </c>
      <c r="B113" s="425">
        <f>IF(ISBLANK(Applicant!$J728),0,IFERROR(VALUE(SUBSTITUTE(SUBSTITUTE(Applicant!$J728,"within ",""), " months", "")),0))</f>
        <v>0</v>
      </c>
      <c r="C113" s="426">
        <f>IF(ISNUMBER(Applicant!L728),Applicant!L728,0)</f>
        <v>0</v>
      </c>
      <c r="D113" s="418"/>
      <c r="F113" s="418"/>
      <c r="G113" s="418"/>
      <c r="H113" s="418"/>
    </row>
    <row r="114" spans="1:8" x14ac:dyDescent="0.2">
      <c r="A114" s="419">
        <f>IF(ISBLANK(Applicant!C729),0,Applicant!C729)</f>
        <v>0</v>
      </c>
      <c r="B114" s="425">
        <f>IF(ISBLANK(Applicant!$J729),0,IFERROR(VALUE(SUBSTITUTE(SUBSTITUTE(Applicant!$J729,"within ",""), " months", "")),0))</f>
        <v>0</v>
      </c>
      <c r="C114" s="426">
        <f>IF(ISNUMBER(Applicant!L729),Applicant!L729,0)</f>
        <v>0</v>
      </c>
      <c r="D114" s="418"/>
      <c r="F114" s="418"/>
      <c r="G114" s="418"/>
      <c r="H114" s="418"/>
    </row>
    <row r="115" spans="1:8" x14ac:dyDescent="0.2">
      <c r="A115" s="419">
        <f>IF(ISBLANK(Applicant!C730),0,Applicant!C730)</f>
        <v>0</v>
      </c>
      <c r="B115" s="425">
        <f>IF(ISBLANK(Applicant!$J730),0,IFERROR(VALUE(SUBSTITUTE(SUBSTITUTE(Applicant!$J730,"within ",""), " months", "")),0))</f>
        <v>0</v>
      </c>
      <c r="C115" s="426">
        <f>IF(ISNUMBER(Applicant!L730),Applicant!L730,0)</f>
        <v>0</v>
      </c>
      <c r="D115" s="418"/>
      <c r="F115" s="418"/>
      <c r="G115" s="418"/>
      <c r="H115" s="418"/>
    </row>
    <row r="116" spans="1:8" x14ac:dyDescent="0.2">
      <c r="A116" s="419">
        <f>IF(ISBLANK(Applicant!C731),0,Applicant!C731)</f>
        <v>0</v>
      </c>
      <c r="B116" s="425">
        <f>IF(ISBLANK(Applicant!$J731),0,IFERROR(VALUE(SUBSTITUTE(SUBSTITUTE(Applicant!$J731,"within ",""), " months", "")),0))</f>
        <v>0</v>
      </c>
      <c r="C116" s="426">
        <f>IF(ISNUMBER(Applicant!L731),Applicant!L731,0)</f>
        <v>0</v>
      </c>
      <c r="D116" s="418"/>
      <c r="F116" s="418"/>
      <c r="G116" s="418"/>
      <c r="H116" s="418"/>
    </row>
    <row r="117" spans="1:8" x14ac:dyDescent="0.2">
      <c r="A117" s="419">
        <f>IF(ISBLANK(Applicant!C732),0,Applicant!C732)</f>
        <v>0</v>
      </c>
      <c r="B117" s="425">
        <f>IF(ISBLANK(Applicant!$J732),0,IFERROR(VALUE(SUBSTITUTE(SUBSTITUTE(Applicant!$J732,"within ",""), " months", "")),0))</f>
        <v>0</v>
      </c>
      <c r="C117" s="426">
        <f>IF(ISNUMBER(Applicant!L732),Applicant!L732,0)</f>
        <v>0</v>
      </c>
      <c r="D117" s="418"/>
      <c r="F117" s="418"/>
      <c r="G117" s="418"/>
      <c r="H117" s="418"/>
    </row>
    <row r="118" spans="1:8" x14ac:dyDescent="0.2">
      <c r="A118" s="419">
        <f>IF(ISBLANK(Applicant!C733),0,Applicant!C733)</f>
        <v>0</v>
      </c>
      <c r="B118" s="425">
        <f>IF(ISBLANK(Applicant!$J733),0,IFERROR(VALUE(SUBSTITUTE(SUBSTITUTE(Applicant!$J733,"within ",""), " months", "")),0))</f>
        <v>0</v>
      </c>
      <c r="C118" s="426">
        <f>IF(ISNUMBER(Applicant!L733),Applicant!L733,0)</f>
        <v>0</v>
      </c>
      <c r="D118" s="418"/>
      <c r="F118" s="418"/>
      <c r="G118" s="418"/>
      <c r="H118" s="418"/>
    </row>
    <row r="119" spans="1:8" x14ac:dyDescent="0.2">
      <c r="A119" s="419">
        <f>IF(ISBLANK(Applicant!C734),0,Applicant!C734)</f>
        <v>0</v>
      </c>
      <c r="B119" s="425">
        <f>IF(ISBLANK(Applicant!$J734),0,IFERROR(VALUE(SUBSTITUTE(SUBSTITUTE(Applicant!$J734,"within ",""), " months", "")),0))</f>
        <v>0</v>
      </c>
      <c r="C119" s="426">
        <f>IF(ISNUMBER(Applicant!L734),Applicant!L734,0)</f>
        <v>0</v>
      </c>
      <c r="D119" s="418"/>
      <c r="F119" s="418"/>
      <c r="G119" s="418"/>
      <c r="H119" s="418"/>
    </row>
    <row r="120" spans="1:8" x14ac:dyDescent="0.2">
      <c r="A120" s="419">
        <f>IF(ISBLANK(Applicant!C735),0,Applicant!C735)</f>
        <v>0</v>
      </c>
      <c r="B120" s="425">
        <f>IF(ISBLANK(Applicant!$J735),0,IFERROR(VALUE(SUBSTITUTE(SUBSTITUTE(Applicant!$J735,"within ",""), " months", "")),0))</f>
        <v>0</v>
      </c>
      <c r="C120" s="426">
        <f>IF(ISNUMBER(Applicant!L735),Applicant!L735,0)</f>
        <v>0</v>
      </c>
      <c r="D120" s="418"/>
      <c r="F120" s="418"/>
      <c r="G120" s="418"/>
      <c r="H120" s="418"/>
    </row>
    <row r="121" spans="1:8" x14ac:dyDescent="0.2">
      <c r="A121" s="419">
        <f>IF(ISBLANK(Applicant!C736),0,Applicant!C736)</f>
        <v>0</v>
      </c>
      <c r="B121" s="425">
        <f>IF(ISBLANK(Applicant!$J736),0,IFERROR(VALUE(SUBSTITUTE(SUBSTITUTE(Applicant!$J736,"within ",""), " months", "")),0))</f>
        <v>0</v>
      </c>
      <c r="C121" s="426">
        <f>IF(ISNUMBER(Applicant!L736),Applicant!L736,0)</f>
        <v>0</v>
      </c>
      <c r="D121" s="418"/>
      <c r="F121" s="418"/>
      <c r="G121" s="418"/>
      <c r="H121" s="418"/>
    </row>
    <row r="122" spans="1:8" x14ac:dyDescent="0.2">
      <c r="A122" s="419">
        <f>IF(ISBLANK(Applicant!C737),0,Applicant!C737)</f>
        <v>0</v>
      </c>
      <c r="B122" s="425">
        <f>IF(ISBLANK(Applicant!$J737),0,IFERROR(VALUE(SUBSTITUTE(SUBSTITUTE(Applicant!$J737,"within ",""), " months", "")),0))</f>
        <v>0</v>
      </c>
      <c r="C122" s="426">
        <f>IF(ISNUMBER(Applicant!L737),Applicant!L737,0)</f>
        <v>0</v>
      </c>
      <c r="D122" s="418"/>
      <c r="F122" s="418"/>
      <c r="G122" s="418"/>
      <c r="H122" s="418"/>
    </row>
    <row r="123" spans="1:8" x14ac:dyDescent="0.2">
      <c r="A123" s="419">
        <f>IF(ISBLANK(Applicant!C738),0,Applicant!C738)</f>
        <v>0</v>
      </c>
      <c r="B123" s="425">
        <f>IF(ISBLANK(Applicant!$J738),0,IFERROR(VALUE(SUBSTITUTE(SUBSTITUTE(Applicant!$J738,"within ",""), " months", "")),0))</f>
        <v>0</v>
      </c>
      <c r="C123" s="426">
        <f>IF(ISNUMBER(Applicant!L738),Applicant!L738,0)</f>
        <v>0</v>
      </c>
      <c r="D123" s="418"/>
      <c r="F123" s="418"/>
      <c r="G123" s="418"/>
      <c r="H123" s="418"/>
    </row>
    <row r="124" spans="1:8" x14ac:dyDescent="0.2">
      <c r="A124" s="419">
        <f>IF(ISBLANK(Applicant!C739),0,Applicant!C739)</f>
        <v>0</v>
      </c>
      <c r="B124" s="425">
        <f>IF(ISBLANK(Applicant!$J739),0,IFERROR(VALUE(SUBSTITUTE(SUBSTITUTE(Applicant!$J739,"within ",""), " months", "")),0))</f>
        <v>0</v>
      </c>
      <c r="C124" s="426">
        <f>IF(ISNUMBER(Applicant!L739),Applicant!L739,0)</f>
        <v>0</v>
      </c>
      <c r="D124" s="418"/>
      <c r="F124" s="418"/>
      <c r="G124" s="418"/>
      <c r="H124" s="418"/>
    </row>
    <row r="125" spans="1:8" x14ac:dyDescent="0.2">
      <c r="A125" s="419">
        <f>IF(ISBLANK(Applicant!C740),0,Applicant!C740)</f>
        <v>0</v>
      </c>
      <c r="B125" s="425">
        <f>IF(ISBLANK(Applicant!$J740),0,IFERROR(VALUE(SUBSTITUTE(SUBSTITUTE(Applicant!$J740,"within ",""), " months", "")),0))</f>
        <v>0</v>
      </c>
      <c r="C125" s="426">
        <f>IF(ISNUMBER(Applicant!L740),Applicant!L740,0)</f>
        <v>0</v>
      </c>
      <c r="D125" s="418"/>
      <c r="F125" s="418"/>
      <c r="G125" s="418"/>
      <c r="H125" s="418"/>
    </row>
    <row r="126" spans="1:8" x14ac:dyDescent="0.2">
      <c r="A126" s="419">
        <f>IF(ISBLANK(Applicant!C741),0,Applicant!C741)</f>
        <v>0</v>
      </c>
      <c r="B126" s="425">
        <f>IF(ISBLANK(Applicant!$J741),0,IFERROR(VALUE(SUBSTITUTE(SUBSTITUTE(Applicant!$J741,"within ",""), " months", "")),0))</f>
        <v>0</v>
      </c>
      <c r="C126" s="426">
        <f>IF(ISNUMBER(Applicant!L741),Applicant!L741,0)</f>
        <v>0</v>
      </c>
      <c r="D126" s="418"/>
      <c r="F126" s="418"/>
      <c r="G126" s="418"/>
      <c r="H126" s="418"/>
    </row>
    <row r="127" spans="1:8" x14ac:dyDescent="0.2">
      <c r="A127" s="419">
        <f>IF(ISBLANK(Applicant!C742),0,Applicant!C742)</f>
        <v>0</v>
      </c>
      <c r="B127" s="425">
        <f>IF(ISBLANK(Applicant!$J742),0,IFERROR(VALUE(SUBSTITUTE(SUBSTITUTE(Applicant!$J742,"within ",""), " months", "")),0))</f>
        <v>0</v>
      </c>
      <c r="C127" s="426">
        <f>IF(ISNUMBER(Applicant!L742),Applicant!L742,0)</f>
        <v>0</v>
      </c>
      <c r="D127" s="418"/>
      <c r="F127" s="418"/>
      <c r="G127" s="418"/>
      <c r="H127" s="418"/>
    </row>
    <row r="128" spans="1:8" x14ac:dyDescent="0.2">
      <c r="A128" s="419">
        <f>IF(ISBLANK(Applicant!C743),0,Applicant!C743)</f>
        <v>0</v>
      </c>
      <c r="B128" s="425">
        <f>IF(ISBLANK(Applicant!$J743),0,IFERROR(VALUE(SUBSTITUTE(SUBSTITUTE(Applicant!$J743,"within ",""), " months", "")),0))</f>
        <v>0</v>
      </c>
      <c r="C128" s="426">
        <f>IF(ISNUMBER(Applicant!L743),Applicant!L743,0)</f>
        <v>0</v>
      </c>
      <c r="D128" s="418"/>
      <c r="F128" s="418"/>
      <c r="G128" s="418"/>
      <c r="H128" s="418"/>
    </row>
    <row r="129" spans="1:8" x14ac:dyDescent="0.2">
      <c r="A129" s="419">
        <f>IF(ISBLANK(Applicant!C744),0,Applicant!C744)</f>
        <v>0</v>
      </c>
      <c r="B129" s="425">
        <f>IF(ISBLANK(Applicant!$J744),0,IFERROR(VALUE(SUBSTITUTE(SUBSTITUTE(Applicant!$J744,"within ",""), " months", "")),0))</f>
        <v>0</v>
      </c>
      <c r="C129" s="426">
        <f>IF(ISNUMBER(Applicant!L744),Applicant!L744,0)</f>
        <v>0</v>
      </c>
      <c r="D129" s="418"/>
      <c r="F129" s="418"/>
      <c r="G129" s="418"/>
      <c r="H129" s="418"/>
    </row>
    <row r="130" spans="1:8" x14ac:dyDescent="0.2">
      <c r="A130" s="419">
        <f>IF(ISBLANK(Applicant!C745),0,Applicant!C745)</f>
        <v>0</v>
      </c>
      <c r="B130" s="425">
        <f>IF(ISBLANK(Applicant!$J745),0,IFERROR(VALUE(SUBSTITUTE(SUBSTITUTE(Applicant!$J745,"within ",""), " months", "")),0))</f>
        <v>0</v>
      </c>
      <c r="C130" s="426">
        <f>IF(ISNUMBER(Applicant!L745),Applicant!L745,0)</f>
        <v>0</v>
      </c>
      <c r="D130" s="418"/>
      <c r="F130" s="418"/>
      <c r="G130" s="418"/>
      <c r="H130" s="418"/>
    </row>
    <row r="131" spans="1:8" x14ac:dyDescent="0.2">
      <c r="A131" s="419">
        <f>IF(ISBLANK(Applicant!C746),0,Applicant!C746)</f>
        <v>0</v>
      </c>
      <c r="B131" s="425">
        <f>IF(ISBLANK(Applicant!$J746),0,IFERROR(VALUE(SUBSTITUTE(SUBSTITUTE(Applicant!$J746,"within ",""), " months", "")),0))</f>
        <v>0</v>
      </c>
      <c r="C131" s="426">
        <f>IF(ISNUMBER(Applicant!L746),Applicant!L746,0)</f>
        <v>0</v>
      </c>
      <c r="D131" s="418"/>
      <c r="F131" s="418"/>
      <c r="G131" s="418"/>
      <c r="H131" s="418"/>
    </row>
    <row r="132" spans="1:8" x14ac:dyDescent="0.2">
      <c r="A132" s="419">
        <f>IF(ISBLANK(Applicant!C747),0,Applicant!C747)</f>
        <v>0</v>
      </c>
      <c r="B132" s="425">
        <f>IF(ISBLANK(Applicant!$J747),0,IFERROR(VALUE(SUBSTITUTE(SUBSTITUTE(Applicant!$J747,"within ",""), " months", "")),0))</f>
        <v>0</v>
      </c>
      <c r="C132" s="426">
        <f>IF(ISNUMBER(Applicant!L747),Applicant!L747,0)</f>
        <v>0</v>
      </c>
      <c r="D132" s="418"/>
      <c r="F132" s="418"/>
      <c r="G132" s="418"/>
      <c r="H132" s="418"/>
    </row>
    <row r="133" spans="1:8" x14ac:dyDescent="0.2">
      <c r="A133" s="419">
        <f>IF(ISBLANK(Applicant!C748),0,Applicant!C748)</f>
        <v>0</v>
      </c>
      <c r="B133" s="425">
        <f>IF(ISBLANK(Applicant!$J748),0,IFERROR(VALUE(SUBSTITUTE(SUBSTITUTE(Applicant!$J748,"within ",""), " months", "")),0))</f>
        <v>0</v>
      </c>
      <c r="C133" s="426">
        <f>IF(ISNUMBER(Applicant!L748),Applicant!L748,0)</f>
        <v>0</v>
      </c>
      <c r="D133" s="418"/>
      <c r="F133" s="418"/>
      <c r="G133" s="418"/>
      <c r="H133" s="418"/>
    </row>
    <row r="134" spans="1:8" x14ac:dyDescent="0.2">
      <c r="A134" s="419">
        <f>IF(ISBLANK(Applicant!C749),0,Applicant!C749)</f>
        <v>0</v>
      </c>
      <c r="B134" s="425">
        <f>IF(ISBLANK(Applicant!$J749),0,IFERROR(VALUE(SUBSTITUTE(SUBSTITUTE(Applicant!$J749,"within ",""), " months", "")),0))</f>
        <v>0</v>
      </c>
      <c r="C134" s="426">
        <f>IF(ISNUMBER(Applicant!L749),Applicant!L749,0)</f>
        <v>0</v>
      </c>
      <c r="D134" s="418"/>
      <c r="F134" s="418"/>
      <c r="G134" s="418"/>
      <c r="H134" s="418"/>
    </row>
    <row r="135" spans="1:8" ht="12" thickBot="1" x14ac:dyDescent="0.25">
      <c r="A135" s="420">
        <f>IF(ISBLANK(Applicant!C750),0,Applicant!C750)</f>
        <v>0</v>
      </c>
      <c r="B135" s="427">
        <f>IF(ISBLANK(Applicant!$J750),0,IFERROR(VALUE(SUBSTITUTE(SUBSTITUTE(Applicant!$J750,"within ",""), " months", "")),0))</f>
        <v>0</v>
      </c>
      <c r="C135" s="428">
        <f>IF(ISNUMBER(Applicant!L750),Applicant!L750,0)</f>
        <v>0</v>
      </c>
      <c r="D135" s="418"/>
      <c r="F135" s="418"/>
      <c r="G135" s="418"/>
      <c r="H135" s="418"/>
    </row>
    <row r="136" spans="1:8" ht="12" thickTop="1" x14ac:dyDescent="0.2">
      <c r="B136" s="418"/>
      <c r="C136" s="418"/>
      <c r="D136" s="418"/>
      <c r="E136" s="418"/>
      <c r="F136" s="418"/>
      <c r="G136" s="418"/>
    </row>
  </sheetData>
  <sheetProtection algorithmName="SHA-512" hashValue="rjwfMdY7jifbJ2jwNU9TeYE/dPsS6yl/z2cg9JFupEQZFkZwF2579dQ+HhY+iLjQQyuciHsOvMKC0MR95WoADg==" saltValue="nTQsTKUjSA8wG58+9COVSA==" spinCount="100000"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59"/>
  <sheetViews>
    <sheetView topLeftCell="AG76" zoomScale="130" zoomScaleNormal="130" workbookViewId="0">
      <selection activeCell="AK104" sqref="AK104"/>
    </sheetView>
  </sheetViews>
  <sheetFormatPr defaultRowHeight="11.25" x14ac:dyDescent="0.2"/>
  <cols>
    <col min="1" max="1" width="17.140625" style="217" customWidth="1"/>
    <col min="2" max="2" width="9.140625" style="217"/>
    <col min="3" max="3" width="18.28515625" style="217" customWidth="1"/>
    <col min="4" max="6" width="9.140625" style="217"/>
    <col min="7" max="7" width="17.140625" style="217" customWidth="1"/>
    <col min="8" max="8" width="47.7109375" style="217" customWidth="1"/>
    <col min="9" max="11" width="9.140625" style="217"/>
    <col min="12" max="12" width="35.140625" style="217" customWidth="1"/>
    <col min="13" max="13" width="18.140625" style="217" customWidth="1"/>
    <col min="14" max="14" width="35.140625" style="217" customWidth="1"/>
    <col min="15" max="15" width="10.7109375" style="236" customWidth="1"/>
    <col min="16" max="16" width="20.140625" style="217" customWidth="1"/>
    <col min="17" max="18" width="15.85546875" style="217" customWidth="1"/>
    <col min="19" max="19" width="18.85546875" style="217" customWidth="1"/>
    <col min="20" max="25" width="9.140625" style="217"/>
    <col min="26" max="26" width="23" style="217" customWidth="1"/>
    <col min="27" max="27" width="15.28515625" style="217" customWidth="1"/>
    <col min="28" max="28" width="18.85546875" style="217" customWidth="1"/>
    <col min="29" max="30" width="6.7109375" style="236" customWidth="1"/>
    <col min="31" max="33" width="9.140625" style="217"/>
    <col min="34" max="34" width="11.85546875" style="217" customWidth="1"/>
    <col min="35" max="35" width="9.140625" style="217"/>
    <col min="36" max="36" width="17" style="217" customWidth="1"/>
    <col min="37" max="37" width="11.7109375" style="217" customWidth="1"/>
    <col min="38" max="38" width="25.85546875" style="217" customWidth="1"/>
    <col min="39" max="39" width="18.28515625" style="217" customWidth="1"/>
    <col min="40" max="41" width="9.140625" style="217"/>
    <col min="42" max="42" width="21.5703125" style="449" customWidth="1"/>
    <col min="43" max="48" width="9.140625" style="217"/>
    <col min="49" max="49" width="18.42578125" style="217" customWidth="1"/>
    <col min="50" max="53" width="9.140625" style="217"/>
    <col min="54" max="54" width="9.140625" style="217" customWidth="1"/>
    <col min="55" max="16384" width="9.140625" style="217"/>
  </cols>
  <sheetData>
    <row r="1" spans="1:68" s="233" customFormat="1" x14ac:dyDescent="0.2">
      <c r="A1" s="233" t="s">
        <v>211</v>
      </c>
      <c r="B1" s="233" t="s">
        <v>100</v>
      </c>
      <c r="C1" s="233" t="s">
        <v>212</v>
      </c>
      <c r="D1" s="233" t="s">
        <v>223</v>
      </c>
      <c r="E1" s="233" t="s">
        <v>100</v>
      </c>
      <c r="F1" s="233" t="s">
        <v>241</v>
      </c>
      <c r="G1" s="233" t="s">
        <v>231</v>
      </c>
      <c r="H1" s="233" t="s">
        <v>245</v>
      </c>
      <c r="I1" s="233" t="s">
        <v>1367</v>
      </c>
      <c r="J1" s="233" t="s">
        <v>250</v>
      </c>
      <c r="L1" s="233" t="s">
        <v>378</v>
      </c>
      <c r="M1" s="233" t="s">
        <v>223</v>
      </c>
      <c r="N1" s="233" t="s">
        <v>231</v>
      </c>
      <c r="O1" s="200" t="s">
        <v>383</v>
      </c>
      <c r="P1" s="233" t="s">
        <v>416</v>
      </c>
      <c r="Q1" s="233" t="s">
        <v>418</v>
      </c>
      <c r="R1" s="233" t="s">
        <v>432</v>
      </c>
      <c r="S1" s="233" t="s">
        <v>431</v>
      </c>
      <c r="T1" s="233" t="s">
        <v>451</v>
      </c>
      <c r="U1" s="233" t="s">
        <v>450</v>
      </c>
      <c r="V1" s="233" t="s">
        <v>452</v>
      </c>
      <c r="W1" s="233" t="s">
        <v>455</v>
      </c>
      <c r="X1" s="233" t="s">
        <v>458</v>
      </c>
      <c r="Y1" s="233" t="s">
        <v>520</v>
      </c>
      <c r="Z1" s="233" t="s">
        <v>594</v>
      </c>
      <c r="AA1" s="233" t="s">
        <v>100</v>
      </c>
      <c r="AB1" s="198" t="s">
        <v>524</v>
      </c>
      <c r="AC1" s="200" t="s">
        <v>525</v>
      </c>
      <c r="AD1" s="200" t="s">
        <v>526</v>
      </c>
      <c r="AE1" s="233" t="s">
        <v>810</v>
      </c>
      <c r="AF1" s="233" t="s">
        <v>811</v>
      </c>
      <c r="AG1" s="233" t="s">
        <v>811</v>
      </c>
      <c r="AH1" s="233" t="s">
        <v>817</v>
      </c>
      <c r="AI1" s="233" t="s">
        <v>811</v>
      </c>
      <c r="AJ1" s="233" t="s">
        <v>863</v>
      </c>
      <c r="AK1" s="233" t="s">
        <v>871</v>
      </c>
      <c r="AL1" s="233" t="s">
        <v>831</v>
      </c>
      <c r="AM1" s="233" t="s">
        <v>856</v>
      </c>
      <c r="AN1" s="233" t="s">
        <v>862</v>
      </c>
      <c r="AO1" s="233" t="s">
        <v>861</v>
      </c>
      <c r="AP1" s="448" t="s">
        <v>383</v>
      </c>
      <c r="AQ1" s="233" t="s">
        <v>716</v>
      </c>
      <c r="AR1" s="233" t="s">
        <v>717</v>
      </c>
      <c r="AS1" s="233" t="s">
        <v>718</v>
      </c>
      <c r="AT1" s="233" t="s">
        <v>719</v>
      </c>
      <c r="AU1" s="233" t="s">
        <v>720</v>
      </c>
      <c r="AV1" s="233" t="s">
        <v>721</v>
      </c>
      <c r="AW1" s="233" t="s">
        <v>898</v>
      </c>
      <c r="AX1" s="233" t="s">
        <v>903</v>
      </c>
      <c r="AY1" s="233" t="s">
        <v>906</v>
      </c>
      <c r="AZ1" s="233" t="s">
        <v>907</v>
      </c>
      <c r="BA1" s="233" t="s">
        <v>908</v>
      </c>
      <c r="BB1" s="233" t="s">
        <v>960</v>
      </c>
      <c r="BC1" s="233" t="s">
        <v>909</v>
      </c>
      <c r="BD1" s="233" t="s">
        <v>963</v>
      </c>
      <c r="BE1" s="233" t="s">
        <v>968</v>
      </c>
      <c r="BF1" s="233" t="s">
        <v>975</v>
      </c>
      <c r="BG1" s="233" t="s">
        <v>983</v>
      </c>
      <c r="BH1" s="233" t="s">
        <v>1038</v>
      </c>
      <c r="BI1" s="233" t="s">
        <v>1037</v>
      </c>
      <c r="BJ1" s="233" t="s">
        <v>1036</v>
      </c>
      <c r="BK1" s="233" t="s">
        <v>1081</v>
      </c>
      <c r="BL1" s="233" t="s">
        <v>1096</v>
      </c>
      <c r="BM1" s="233" t="s">
        <v>811</v>
      </c>
      <c r="BN1" s="233" t="s">
        <v>1139</v>
      </c>
      <c r="BO1" s="233" t="s">
        <v>1298</v>
      </c>
      <c r="BP1" s="233" t="s">
        <v>1299</v>
      </c>
    </row>
    <row r="2" spans="1:68" x14ac:dyDescent="0.2">
      <c r="A2" s="234" t="s">
        <v>114</v>
      </c>
      <c r="B2" s="234" t="s">
        <v>213</v>
      </c>
      <c r="C2" s="235" t="s">
        <v>114</v>
      </c>
      <c r="D2" s="217" t="s">
        <v>224</v>
      </c>
      <c r="E2" s="217" t="s">
        <v>232</v>
      </c>
      <c r="F2" s="217" t="s">
        <v>242</v>
      </c>
      <c r="G2" s="233" t="s">
        <v>232</v>
      </c>
      <c r="H2" s="233" t="s">
        <v>242</v>
      </c>
      <c r="I2" s="233"/>
      <c r="J2" s="217" t="s">
        <v>251</v>
      </c>
      <c r="K2" s="233"/>
      <c r="L2" s="199" t="s">
        <v>369</v>
      </c>
      <c r="M2" s="199" t="s">
        <v>369</v>
      </c>
      <c r="N2" s="198" t="s">
        <v>369</v>
      </c>
      <c r="P2" s="237" t="s">
        <v>417</v>
      </c>
      <c r="Q2" s="237" t="s">
        <v>419</v>
      </c>
      <c r="R2" s="237" t="s">
        <v>438</v>
      </c>
      <c r="S2" s="217" t="s">
        <v>1076</v>
      </c>
      <c r="T2" s="217" t="s">
        <v>23</v>
      </c>
      <c r="U2" s="238" t="s">
        <v>138</v>
      </c>
      <c r="V2" s="217" t="s">
        <v>453</v>
      </c>
      <c r="W2" s="217" t="s">
        <v>456</v>
      </c>
      <c r="X2" s="217" t="s">
        <v>459</v>
      </c>
      <c r="Y2" s="217" t="s">
        <v>523</v>
      </c>
      <c r="Z2" s="198" t="s">
        <v>527</v>
      </c>
      <c r="AA2" s="233" t="s">
        <v>595</v>
      </c>
      <c r="AB2" s="233" t="s">
        <v>595</v>
      </c>
      <c r="AC2" s="200"/>
      <c r="AD2" s="200"/>
      <c r="AE2" s="217" t="s">
        <v>812</v>
      </c>
      <c r="AF2" s="217" t="s">
        <v>638</v>
      </c>
      <c r="AG2" s="217" t="s">
        <v>818</v>
      </c>
      <c r="AH2" s="233" t="s">
        <v>818</v>
      </c>
      <c r="AL2" s="233" t="s">
        <v>853</v>
      </c>
      <c r="AM2" s="233" t="s">
        <v>864</v>
      </c>
      <c r="AW2" s="217" t="s">
        <v>897</v>
      </c>
      <c r="AX2" s="217" t="s">
        <v>904</v>
      </c>
      <c r="AY2" s="217" t="s">
        <v>916</v>
      </c>
      <c r="AZ2" s="217" t="s">
        <v>920</v>
      </c>
      <c r="BA2" s="217" t="s">
        <v>912</v>
      </c>
      <c r="BB2" s="217" t="s">
        <v>924</v>
      </c>
      <c r="BC2" s="217">
        <v>1</v>
      </c>
      <c r="BD2" s="217" t="s">
        <v>964</v>
      </c>
      <c r="BE2" s="217" t="s">
        <v>521</v>
      </c>
      <c r="BF2" s="341" t="s">
        <v>1314</v>
      </c>
      <c r="BG2" s="217" t="s">
        <v>984</v>
      </c>
      <c r="BH2" s="341">
        <v>200000</v>
      </c>
      <c r="BI2" s="341">
        <v>1000000</v>
      </c>
      <c r="BJ2" s="217" t="s">
        <v>1055</v>
      </c>
      <c r="BK2" s="217" t="s">
        <v>1082</v>
      </c>
      <c r="BL2" s="217" t="s">
        <v>1084</v>
      </c>
      <c r="BM2" s="217" t="s">
        <v>1085</v>
      </c>
      <c r="BN2" s="233" t="s">
        <v>1085</v>
      </c>
      <c r="BO2" s="217" t="s">
        <v>453</v>
      </c>
      <c r="BP2" s="392">
        <v>1</v>
      </c>
    </row>
    <row r="3" spans="1:68" x14ac:dyDescent="0.2">
      <c r="A3" s="234" t="s">
        <v>1470</v>
      </c>
      <c r="B3" s="234" t="s">
        <v>214</v>
      </c>
      <c r="C3" s="234" t="s">
        <v>191</v>
      </c>
      <c r="D3" s="217" t="s">
        <v>1368</v>
      </c>
      <c r="E3" s="217" t="s">
        <v>1362</v>
      </c>
      <c r="F3" s="217" t="s">
        <v>1363</v>
      </c>
      <c r="G3" s="217" t="s">
        <v>227</v>
      </c>
      <c r="H3" s="217" t="s">
        <v>8</v>
      </c>
      <c r="I3" s="392">
        <v>1</v>
      </c>
      <c r="J3" s="217" t="s">
        <v>252</v>
      </c>
      <c r="L3" s="199" t="s">
        <v>370</v>
      </c>
      <c r="M3" s="199" t="s">
        <v>370</v>
      </c>
      <c r="N3" s="199" t="s">
        <v>256</v>
      </c>
      <c r="O3" s="201">
        <v>1111000</v>
      </c>
      <c r="P3" s="237" t="s">
        <v>641</v>
      </c>
      <c r="Q3" s="237" t="s">
        <v>174</v>
      </c>
      <c r="R3" s="237" t="s">
        <v>439</v>
      </c>
      <c r="S3" s="217" t="s">
        <v>1361</v>
      </c>
      <c r="T3" s="217" t="s">
        <v>106</v>
      </c>
      <c r="U3" s="238" t="s">
        <v>139</v>
      </c>
      <c r="V3" s="217" t="s">
        <v>454</v>
      </c>
      <c r="W3" s="217" t="s">
        <v>457</v>
      </c>
      <c r="X3" s="217" t="s">
        <v>461</v>
      </c>
      <c r="Y3" s="217" t="s">
        <v>522</v>
      </c>
      <c r="Z3" s="198" t="s">
        <v>532</v>
      </c>
      <c r="AA3" s="233" t="s">
        <v>596</v>
      </c>
      <c r="AB3" s="199" t="s">
        <v>528</v>
      </c>
      <c r="AC3" s="201"/>
      <c r="AD3" s="201" t="s">
        <v>529</v>
      </c>
      <c r="AE3" s="217" t="s">
        <v>813</v>
      </c>
      <c r="AF3" s="217" t="s">
        <v>955</v>
      </c>
      <c r="AG3" s="217" t="s">
        <v>954</v>
      </c>
      <c r="AH3" s="217" t="s">
        <v>821</v>
      </c>
      <c r="AI3" s="233" t="s">
        <v>853</v>
      </c>
      <c r="AJ3" s="233" t="s">
        <v>864</v>
      </c>
      <c r="AK3" s="233" t="s">
        <v>872</v>
      </c>
      <c r="AL3" s="217" t="s">
        <v>832</v>
      </c>
      <c r="AM3" s="217" t="s">
        <v>612</v>
      </c>
      <c r="AN3" s="217" t="s">
        <v>419</v>
      </c>
      <c r="AO3" s="217" t="s">
        <v>1355</v>
      </c>
      <c r="AP3" s="449" t="s">
        <v>1150</v>
      </c>
      <c r="AQ3" s="217" t="s">
        <v>722</v>
      </c>
      <c r="AR3" s="217" t="s">
        <v>723</v>
      </c>
      <c r="AS3" s="217" t="s">
        <v>724</v>
      </c>
      <c r="AT3" s="217" t="s">
        <v>725</v>
      </c>
      <c r="AU3" s="217" t="s">
        <v>725</v>
      </c>
      <c r="AV3" s="217" t="s">
        <v>726</v>
      </c>
      <c r="AW3" s="217" t="s">
        <v>896</v>
      </c>
      <c r="AX3" s="217" t="s">
        <v>905</v>
      </c>
      <c r="AY3" s="217" t="s">
        <v>917</v>
      </c>
      <c r="AZ3" s="217" t="s">
        <v>921</v>
      </c>
      <c r="BA3" s="217" t="s">
        <v>913</v>
      </c>
      <c r="BB3" s="217" t="s">
        <v>925</v>
      </c>
      <c r="BC3" s="217">
        <v>1.41</v>
      </c>
      <c r="BD3" s="217" t="s">
        <v>965</v>
      </c>
      <c r="BE3" s="217" t="s">
        <v>969</v>
      </c>
      <c r="BF3" s="341" t="s">
        <v>970</v>
      </c>
      <c r="BG3" s="217" t="s">
        <v>985</v>
      </c>
      <c r="BH3" s="341">
        <v>200000</v>
      </c>
      <c r="BI3" s="341">
        <v>1000000</v>
      </c>
      <c r="BJ3" s="217" t="s">
        <v>1056</v>
      </c>
      <c r="BK3" s="217" t="s">
        <v>1083</v>
      </c>
      <c r="BL3" s="217" t="s">
        <v>1086</v>
      </c>
      <c r="BM3" s="217" t="s">
        <v>1087</v>
      </c>
      <c r="BN3" s="217" t="s">
        <v>1097</v>
      </c>
    </row>
    <row r="4" spans="1:68" x14ac:dyDescent="0.2">
      <c r="A4" s="234" t="s">
        <v>128</v>
      </c>
      <c r="B4" s="234" t="s">
        <v>215</v>
      </c>
      <c r="C4" s="234" t="s">
        <v>115</v>
      </c>
      <c r="D4" s="217" t="s">
        <v>226</v>
      </c>
      <c r="E4" s="217" t="s">
        <v>234</v>
      </c>
      <c r="F4" s="217" t="s">
        <v>244</v>
      </c>
      <c r="G4" s="217" t="s">
        <v>228</v>
      </c>
      <c r="H4" s="217" t="s">
        <v>1078</v>
      </c>
      <c r="I4" s="392">
        <v>1</v>
      </c>
      <c r="J4" s="217" t="s">
        <v>1080</v>
      </c>
      <c r="L4" s="199" t="s">
        <v>371</v>
      </c>
      <c r="M4" s="199" t="s">
        <v>227</v>
      </c>
      <c r="N4" s="199" t="s">
        <v>257</v>
      </c>
      <c r="O4" s="201">
        <v>1112000</v>
      </c>
      <c r="P4" s="237" t="s">
        <v>510</v>
      </c>
      <c r="Q4" s="237"/>
      <c r="R4" s="237" t="s">
        <v>440</v>
      </c>
      <c r="S4" s="217" t="s">
        <v>1075</v>
      </c>
      <c r="T4" s="217" t="s">
        <v>107</v>
      </c>
      <c r="U4" s="238" t="s">
        <v>167</v>
      </c>
      <c r="X4" s="217" t="s">
        <v>460</v>
      </c>
      <c r="Y4" s="217" t="s">
        <v>521</v>
      </c>
      <c r="Z4" s="198" t="s">
        <v>537</v>
      </c>
      <c r="AA4" s="233" t="s">
        <v>597</v>
      </c>
      <c r="AB4" s="199" t="s">
        <v>530</v>
      </c>
      <c r="AC4" s="201"/>
      <c r="AD4" s="201" t="s">
        <v>529</v>
      </c>
      <c r="AE4" s="217" t="s">
        <v>814</v>
      </c>
      <c r="AF4" s="217" t="s">
        <v>815</v>
      </c>
      <c r="AG4" s="217" t="s">
        <v>819</v>
      </c>
      <c r="AH4" s="217" t="s">
        <v>822</v>
      </c>
      <c r="AI4" s="233" t="s">
        <v>854</v>
      </c>
      <c r="AJ4" s="233" t="s">
        <v>865</v>
      </c>
      <c r="AK4" s="233" t="s">
        <v>873</v>
      </c>
      <c r="AL4" s="217" t="s">
        <v>833</v>
      </c>
      <c r="AM4" s="217" t="s">
        <v>613</v>
      </c>
      <c r="AN4" s="217" t="s">
        <v>419</v>
      </c>
      <c r="AO4" s="217" t="s">
        <v>1355</v>
      </c>
      <c r="AP4" s="449" t="s">
        <v>1151</v>
      </c>
      <c r="AQ4" s="217" t="s">
        <v>722</v>
      </c>
      <c r="AR4" s="217" t="s">
        <v>727</v>
      </c>
      <c r="AS4" s="217" t="s">
        <v>724</v>
      </c>
      <c r="AT4" s="217" t="s">
        <v>725</v>
      </c>
      <c r="AU4" s="217" t="s">
        <v>725</v>
      </c>
      <c r="AV4" s="217" t="s">
        <v>728</v>
      </c>
      <c r="AW4" s="217" t="s">
        <v>895</v>
      </c>
      <c r="AY4" s="217" t="s">
        <v>918</v>
      </c>
      <c r="AZ4" s="217" t="s">
        <v>922</v>
      </c>
      <c r="BA4" s="217" t="s">
        <v>914</v>
      </c>
      <c r="BB4" s="217" t="s">
        <v>926</v>
      </c>
      <c r="BC4" s="217">
        <v>1.73</v>
      </c>
      <c r="BD4" s="217" t="s">
        <v>966</v>
      </c>
      <c r="BE4" s="217" t="s">
        <v>522</v>
      </c>
      <c r="BF4" s="341" t="s">
        <v>971</v>
      </c>
      <c r="BG4" s="217" t="s">
        <v>986</v>
      </c>
      <c r="BH4" s="341">
        <v>200000</v>
      </c>
      <c r="BI4" s="341">
        <v>1000000</v>
      </c>
      <c r="BJ4" s="217" t="s">
        <v>1057</v>
      </c>
      <c r="BL4" s="217" t="s">
        <v>1088</v>
      </c>
      <c r="BM4" s="217" t="s">
        <v>1089</v>
      </c>
      <c r="BN4" s="217" t="s">
        <v>1098</v>
      </c>
    </row>
    <row r="5" spans="1:68" x14ac:dyDescent="0.2">
      <c r="A5" s="234" t="s">
        <v>1471</v>
      </c>
      <c r="B5" s="234" t="s">
        <v>216</v>
      </c>
      <c r="C5" s="234" t="s">
        <v>116</v>
      </c>
      <c r="D5" s="217" t="s">
        <v>225</v>
      </c>
      <c r="E5" s="217" t="s">
        <v>233</v>
      </c>
      <c r="F5" s="217" t="s">
        <v>243</v>
      </c>
      <c r="G5" s="217" t="s">
        <v>229</v>
      </c>
      <c r="H5" s="217" t="s">
        <v>1332</v>
      </c>
      <c r="I5" s="392">
        <v>1</v>
      </c>
      <c r="J5" s="217" t="s">
        <v>253</v>
      </c>
      <c r="L5" s="199" t="s">
        <v>372</v>
      </c>
      <c r="M5" s="199" t="s">
        <v>379</v>
      </c>
      <c r="N5" s="199" t="s">
        <v>258</v>
      </c>
      <c r="O5" s="201">
        <v>1118100</v>
      </c>
      <c r="P5" s="237"/>
      <c r="Q5" s="237"/>
      <c r="R5" s="237" t="s">
        <v>433</v>
      </c>
      <c r="S5" s="217" t="s">
        <v>427</v>
      </c>
      <c r="T5" s="217" t="s">
        <v>108</v>
      </c>
      <c r="U5" s="238" t="s">
        <v>140</v>
      </c>
      <c r="X5" s="217" t="s">
        <v>462</v>
      </c>
      <c r="Z5" s="198" t="s">
        <v>542</v>
      </c>
      <c r="AA5" s="233" t="s">
        <v>598</v>
      </c>
      <c r="AB5" s="199" t="s">
        <v>531</v>
      </c>
      <c r="AC5" s="201"/>
      <c r="AD5" s="201" t="s">
        <v>529</v>
      </c>
      <c r="AE5" s="217" t="s">
        <v>816</v>
      </c>
      <c r="AF5" s="217" t="s">
        <v>679</v>
      </c>
      <c r="AG5" s="217" t="s">
        <v>820</v>
      </c>
      <c r="AH5" s="217" t="s">
        <v>823</v>
      </c>
      <c r="AI5" s="233" t="s">
        <v>1257</v>
      </c>
      <c r="AJ5" s="233" t="s">
        <v>866</v>
      </c>
      <c r="AK5" s="233" t="s">
        <v>1264</v>
      </c>
      <c r="AL5" s="233" t="s">
        <v>854</v>
      </c>
      <c r="AM5" s="217" t="s">
        <v>614</v>
      </c>
      <c r="AN5" s="217" t="s">
        <v>419</v>
      </c>
      <c r="AO5" s="217" t="s">
        <v>1354</v>
      </c>
      <c r="AP5" s="449" t="s">
        <v>1152</v>
      </c>
      <c r="AQ5" s="217" t="s">
        <v>722</v>
      </c>
      <c r="AR5" s="217" t="s">
        <v>729</v>
      </c>
      <c r="AS5" s="217" t="s">
        <v>724</v>
      </c>
      <c r="AT5" s="217">
        <v>80</v>
      </c>
      <c r="AU5" s="217">
        <v>2017</v>
      </c>
      <c r="AV5" s="217">
        <v>100</v>
      </c>
      <c r="AW5" s="217" t="s">
        <v>894</v>
      </c>
      <c r="AY5" s="217" t="s">
        <v>919</v>
      </c>
      <c r="AZ5" s="217" t="s">
        <v>923</v>
      </c>
      <c r="BA5" s="217" t="s">
        <v>915</v>
      </c>
      <c r="BB5" s="217" t="s">
        <v>927</v>
      </c>
      <c r="BC5" s="217">
        <v>2</v>
      </c>
      <c r="BD5" s="217" t="s">
        <v>1043</v>
      </c>
      <c r="BF5" s="341" t="s">
        <v>972</v>
      </c>
      <c r="BG5" s="217" t="s">
        <v>987</v>
      </c>
      <c r="BH5" s="341">
        <v>200000</v>
      </c>
      <c r="BI5" s="341">
        <v>1000000</v>
      </c>
      <c r="BJ5" s="217" t="s">
        <v>1058</v>
      </c>
      <c r="BL5" s="217" t="s">
        <v>1090</v>
      </c>
      <c r="BM5" s="217" t="s">
        <v>1091</v>
      </c>
      <c r="BN5" s="217" t="s">
        <v>1099</v>
      </c>
    </row>
    <row r="6" spans="1:68" x14ac:dyDescent="0.2">
      <c r="A6" s="234" t="s">
        <v>178</v>
      </c>
      <c r="B6" s="234" t="s">
        <v>217</v>
      </c>
      <c r="C6" s="234" t="s">
        <v>117</v>
      </c>
      <c r="G6" s="217" t="s">
        <v>235</v>
      </c>
      <c r="H6" s="217" t="s">
        <v>1333</v>
      </c>
      <c r="I6" s="392">
        <v>1</v>
      </c>
      <c r="J6" s="217" t="s">
        <v>254</v>
      </c>
      <c r="L6" s="199" t="s">
        <v>373</v>
      </c>
      <c r="M6" s="199" t="s">
        <v>373</v>
      </c>
      <c r="N6" s="199" t="s">
        <v>259</v>
      </c>
      <c r="O6" s="201">
        <v>1122000</v>
      </c>
      <c r="P6" s="237"/>
      <c r="Q6" s="237"/>
      <c r="R6" s="237" t="s">
        <v>434</v>
      </c>
      <c r="S6" s="217" t="s">
        <v>428</v>
      </c>
      <c r="T6" s="217" t="s">
        <v>109</v>
      </c>
      <c r="U6" s="238" t="s">
        <v>141</v>
      </c>
      <c r="X6" s="217" t="s">
        <v>463</v>
      </c>
      <c r="Z6" s="198" t="s">
        <v>549</v>
      </c>
      <c r="AA6" s="233" t="s">
        <v>599</v>
      </c>
      <c r="AB6" s="233" t="s">
        <v>596</v>
      </c>
      <c r="AC6" s="200"/>
      <c r="AD6" s="200"/>
      <c r="AH6" s="233" t="s">
        <v>954</v>
      </c>
      <c r="AI6" s="233"/>
      <c r="AJ6" s="233"/>
      <c r="AK6" s="233"/>
      <c r="AL6" s="217" t="s">
        <v>834</v>
      </c>
      <c r="AM6" s="217" t="s">
        <v>615</v>
      </c>
      <c r="AN6" s="217" t="s">
        <v>419</v>
      </c>
      <c r="AO6" s="217" t="s">
        <v>1355</v>
      </c>
      <c r="AP6" s="449" t="s">
        <v>1153</v>
      </c>
      <c r="AQ6" s="217" t="s">
        <v>77</v>
      </c>
      <c r="AR6" s="217" t="s">
        <v>730</v>
      </c>
      <c r="AS6" s="217" t="s">
        <v>724</v>
      </c>
      <c r="AT6" s="217">
        <v>0</v>
      </c>
      <c r="AU6" s="217" t="s">
        <v>3</v>
      </c>
      <c r="AV6" s="217">
        <v>21</v>
      </c>
      <c r="AW6" s="217" t="s">
        <v>893</v>
      </c>
      <c r="BB6" s="217" t="s">
        <v>928</v>
      </c>
      <c r="BC6" s="217">
        <v>1.41</v>
      </c>
      <c r="BD6" s="217" t="s">
        <v>967</v>
      </c>
      <c r="BF6" s="341" t="s">
        <v>973</v>
      </c>
      <c r="BG6" s="217" t="s">
        <v>988</v>
      </c>
      <c r="BH6" s="341">
        <v>200000</v>
      </c>
      <c r="BI6" s="341">
        <v>1000000</v>
      </c>
      <c r="BJ6" s="217" t="s">
        <v>1059</v>
      </c>
      <c r="BL6" s="217" t="s">
        <v>1092</v>
      </c>
      <c r="BM6" s="217" t="s">
        <v>1093</v>
      </c>
      <c r="BN6" s="217" t="s">
        <v>1100</v>
      </c>
    </row>
    <row r="7" spans="1:68" x14ac:dyDescent="0.2">
      <c r="A7" s="234" t="s">
        <v>1472</v>
      </c>
      <c r="B7" s="234" t="s">
        <v>218</v>
      </c>
      <c r="C7" s="234" t="s">
        <v>118</v>
      </c>
      <c r="G7" s="217" t="s">
        <v>230</v>
      </c>
      <c r="H7" s="217" t="s">
        <v>1334</v>
      </c>
      <c r="I7" s="392">
        <v>1</v>
      </c>
      <c r="J7" s="217" t="s">
        <v>255</v>
      </c>
      <c r="L7" s="199" t="s">
        <v>374</v>
      </c>
      <c r="M7" s="199" t="s">
        <v>169</v>
      </c>
      <c r="N7" s="199" t="s">
        <v>260</v>
      </c>
      <c r="O7" s="201">
        <v>1123000</v>
      </c>
      <c r="P7" s="237"/>
      <c r="Q7" s="237"/>
      <c r="R7" s="237" t="s">
        <v>435</v>
      </c>
      <c r="S7" s="217" t="s">
        <v>1074</v>
      </c>
      <c r="U7" s="238" t="s">
        <v>142</v>
      </c>
      <c r="Z7" s="198" t="s">
        <v>555</v>
      </c>
      <c r="AA7" s="233" t="s">
        <v>600</v>
      </c>
      <c r="AB7" s="199" t="s">
        <v>533</v>
      </c>
      <c r="AC7" s="201" t="s">
        <v>534</v>
      </c>
      <c r="AD7" s="201" t="s">
        <v>529</v>
      </c>
      <c r="AH7" s="217" t="s">
        <v>824</v>
      </c>
      <c r="AI7" s="233" t="s">
        <v>941</v>
      </c>
      <c r="AJ7" s="233" t="s">
        <v>945</v>
      </c>
      <c r="AK7" s="233" t="s">
        <v>950</v>
      </c>
      <c r="AL7" s="217" t="s">
        <v>835</v>
      </c>
      <c r="AM7" s="217" t="s">
        <v>616</v>
      </c>
      <c r="AN7" s="217" t="s">
        <v>174</v>
      </c>
      <c r="AO7" s="217" t="s">
        <v>1354</v>
      </c>
      <c r="AP7" s="449" t="s">
        <v>1143</v>
      </c>
      <c r="AQ7" s="217" t="s">
        <v>77</v>
      </c>
      <c r="AR7" s="217" t="s">
        <v>731</v>
      </c>
      <c r="AS7" s="217" t="s">
        <v>732</v>
      </c>
      <c r="AT7" s="217">
        <v>0</v>
      </c>
      <c r="AU7" s="217" t="s">
        <v>3</v>
      </c>
      <c r="AV7" s="217">
        <v>15</v>
      </c>
      <c r="AW7" s="217" t="s">
        <v>892</v>
      </c>
      <c r="BB7" s="217" t="s">
        <v>929</v>
      </c>
      <c r="BC7" s="217">
        <v>2</v>
      </c>
      <c r="BF7" s="341" t="s">
        <v>974</v>
      </c>
      <c r="BG7" s="217" t="s">
        <v>989</v>
      </c>
      <c r="BH7" s="341">
        <v>200000</v>
      </c>
      <c r="BI7" s="341">
        <v>1000000</v>
      </c>
      <c r="BL7" s="217" t="s">
        <v>1094</v>
      </c>
      <c r="BM7" s="217" t="s">
        <v>1095</v>
      </c>
      <c r="BN7" s="217" t="s">
        <v>1101</v>
      </c>
    </row>
    <row r="8" spans="1:68" x14ac:dyDescent="0.2">
      <c r="A8" s="234" t="s">
        <v>1473</v>
      </c>
      <c r="B8" s="234" t="s">
        <v>219</v>
      </c>
      <c r="C8" s="234" t="s">
        <v>119</v>
      </c>
      <c r="G8" s="233" t="s">
        <v>233</v>
      </c>
      <c r="H8" s="217" t="s">
        <v>1335</v>
      </c>
      <c r="I8" s="392">
        <v>1</v>
      </c>
      <c r="J8" s="233"/>
      <c r="K8" s="233"/>
      <c r="L8" s="199" t="s">
        <v>375</v>
      </c>
      <c r="M8" s="199" t="s">
        <v>380</v>
      </c>
      <c r="N8" s="199" t="s">
        <v>261</v>
      </c>
      <c r="O8" s="201">
        <v>1123200</v>
      </c>
      <c r="P8" s="237"/>
      <c r="Q8" s="237"/>
      <c r="R8" s="237" t="s">
        <v>436</v>
      </c>
      <c r="S8" s="217" t="s">
        <v>1077</v>
      </c>
      <c r="U8" s="238" t="s">
        <v>113</v>
      </c>
      <c r="Z8" s="198" t="s">
        <v>565</v>
      </c>
      <c r="AA8" s="233" t="s">
        <v>601</v>
      </c>
      <c r="AB8" s="199" t="s">
        <v>535</v>
      </c>
      <c r="AC8" s="201" t="s">
        <v>529</v>
      </c>
      <c r="AD8" s="201" t="s">
        <v>529</v>
      </c>
      <c r="AH8" s="217" t="s">
        <v>825</v>
      </c>
      <c r="AI8" s="233" t="s">
        <v>942</v>
      </c>
      <c r="AJ8" s="233" t="s">
        <v>946</v>
      </c>
      <c r="AK8" s="233" t="s">
        <v>951</v>
      </c>
      <c r="AL8" s="233" t="s">
        <v>1257</v>
      </c>
      <c r="AM8" s="217" t="s">
        <v>617</v>
      </c>
      <c r="AN8" s="217" t="s">
        <v>174</v>
      </c>
      <c r="AO8" s="217" t="s">
        <v>1354</v>
      </c>
      <c r="AP8" s="449" t="s">
        <v>1144</v>
      </c>
      <c r="AQ8" s="217" t="s">
        <v>77</v>
      </c>
      <c r="AR8" s="217" t="s">
        <v>733</v>
      </c>
      <c r="AS8" s="217" t="s">
        <v>732</v>
      </c>
      <c r="AT8" s="217">
        <v>0</v>
      </c>
      <c r="AU8" s="217" t="s">
        <v>3</v>
      </c>
      <c r="AV8" s="217">
        <v>15</v>
      </c>
      <c r="AW8" s="217" t="s">
        <v>891</v>
      </c>
      <c r="BB8" s="217" t="s">
        <v>930</v>
      </c>
      <c r="BC8" s="217">
        <v>2.4500000000000002</v>
      </c>
      <c r="BG8" s="217" t="s">
        <v>990</v>
      </c>
      <c r="BH8" s="341">
        <v>200000</v>
      </c>
      <c r="BI8" s="341">
        <v>1000000</v>
      </c>
      <c r="BN8" s="217" t="s">
        <v>1102</v>
      </c>
    </row>
    <row r="9" spans="1:68" x14ac:dyDescent="0.2">
      <c r="A9" s="234" t="s">
        <v>1474</v>
      </c>
      <c r="B9" s="234" t="s">
        <v>220</v>
      </c>
      <c r="C9" s="234" t="s">
        <v>120</v>
      </c>
      <c r="G9" s="217" t="s">
        <v>236</v>
      </c>
      <c r="H9" s="217" t="s">
        <v>1336</v>
      </c>
      <c r="I9" s="392">
        <v>1</v>
      </c>
      <c r="L9" s="199" t="s">
        <v>376</v>
      </c>
      <c r="M9" s="199" t="s">
        <v>381</v>
      </c>
      <c r="N9" s="199" t="s">
        <v>262</v>
      </c>
      <c r="O9" s="201">
        <v>1124000</v>
      </c>
      <c r="P9" s="237"/>
      <c r="Q9" s="237"/>
      <c r="S9" s="217" t="s">
        <v>429</v>
      </c>
      <c r="U9" s="238" t="s">
        <v>143</v>
      </c>
      <c r="Z9" s="198" t="s">
        <v>569</v>
      </c>
      <c r="AA9" s="233" t="s">
        <v>602</v>
      </c>
      <c r="AB9" s="199" t="s">
        <v>536</v>
      </c>
      <c r="AC9" s="201" t="s">
        <v>529</v>
      </c>
      <c r="AD9" s="201"/>
      <c r="AH9" s="217" t="s">
        <v>826</v>
      </c>
      <c r="AI9" s="233" t="s">
        <v>943</v>
      </c>
      <c r="AJ9" s="233" t="s">
        <v>947</v>
      </c>
      <c r="AK9" s="233" t="s">
        <v>952</v>
      </c>
      <c r="AL9" s="217" t="s">
        <v>836</v>
      </c>
      <c r="AM9" s="217" t="s">
        <v>618</v>
      </c>
      <c r="AN9" s="217" t="s">
        <v>174</v>
      </c>
      <c r="AO9" s="217" t="s">
        <v>1354</v>
      </c>
      <c r="AP9" s="449" t="s">
        <v>1145</v>
      </c>
      <c r="AQ9" s="217" t="s">
        <v>77</v>
      </c>
      <c r="AR9" s="217" t="s">
        <v>734</v>
      </c>
      <c r="AS9" s="217" t="s">
        <v>732</v>
      </c>
      <c r="AT9" s="217">
        <v>0</v>
      </c>
      <c r="AU9" s="217" t="s">
        <v>3</v>
      </c>
      <c r="AV9" s="217">
        <v>15</v>
      </c>
      <c r="BB9" s="217" t="s">
        <v>931</v>
      </c>
      <c r="BC9" s="217">
        <v>2.83</v>
      </c>
      <c r="BG9" s="217" t="s">
        <v>991</v>
      </c>
      <c r="BH9" s="341">
        <v>200000</v>
      </c>
      <c r="BI9" s="341">
        <v>1000000</v>
      </c>
      <c r="BN9" s="217" t="s">
        <v>1103</v>
      </c>
    </row>
    <row r="10" spans="1:68" x14ac:dyDescent="0.2">
      <c r="C10" s="234" t="s">
        <v>121</v>
      </c>
      <c r="G10" s="233" t="s">
        <v>1362</v>
      </c>
      <c r="H10" s="233" t="s">
        <v>243</v>
      </c>
      <c r="I10" s="233"/>
      <c r="J10" s="233"/>
      <c r="K10" s="233"/>
      <c r="L10" s="199" t="s">
        <v>377</v>
      </c>
      <c r="M10" s="199" t="s">
        <v>382</v>
      </c>
      <c r="N10" s="199" t="s">
        <v>263</v>
      </c>
      <c r="O10" s="201">
        <v>1132000</v>
      </c>
      <c r="P10" s="237"/>
      <c r="Q10" s="237"/>
      <c r="R10" s="237"/>
      <c r="S10" s="217" t="s">
        <v>1072</v>
      </c>
      <c r="U10" s="238" t="s">
        <v>144</v>
      </c>
      <c r="Z10" s="198" t="s">
        <v>577</v>
      </c>
      <c r="AA10" s="233" t="s">
        <v>603</v>
      </c>
      <c r="AB10" s="233" t="s">
        <v>597</v>
      </c>
      <c r="AC10" s="200"/>
      <c r="AD10" s="200"/>
      <c r="AH10" s="217" t="s">
        <v>827</v>
      </c>
      <c r="AI10" s="233" t="s">
        <v>944</v>
      </c>
      <c r="AJ10" s="233" t="s">
        <v>948</v>
      </c>
      <c r="AK10" s="233" t="s">
        <v>953</v>
      </c>
      <c r="AL10" s="233" t="s">
        <v>941</v>
      </c>
      <c r="AM10" s="217" t="s">
        <v>619</v>
      </c>
      <c r="AN10" s="217" t="s">
        <v>174</v>
      </c>
      <c r="AO10" s="217" t="s">
        <v>1354</v>
      </c>
      <c r="AP10" s="449" t="s">
        <v>1146</v>
      </c>
      <c r="AQ10" s="217" t="s">
        <v>77</v>
      </c>
      <c r="AR10" s="217" t="s">
        <v>735</v>
      </c>
      <c r="AS10" s="217" t="s">
        <v>732</v>
      </c>
      <c r="AT10" s="217">
        <v>0</v>
      </c>
      <c r="AU10" s="217" t="s">
        <v>3</v>
      </c>
      <c r="AV10" s="217">
        <v>15</v>
      </c>
      <c r="BB10" s="217" t="s">
        <v>932</v>
      </c>
      <c r="BC10" s="217">
        <v>1.73</v>
      </c>
      <c r="BG10" s="217" t="s">
        <v>992</v>
      </c>
      <c r="BH10" s="341">
        <v>200000</v>
      </c>
      <c r="BI10" s="341">
        <v>1000000</v>
      </c>
      <c r="BN10" s="233" t="s">
        <v>1087</v>
      </c>
    </row>
    <row r="11" spans="1:68" x14ac:dyDescent="0.2">
      <c r="C11" s="234" t="s">
        <v>122</v>
      </c>
      <c r="G11" s="217" t="s">
        <v>237</v>
      </c>
      <c r="H11" s="217" t="s">
        <v>236</v>
      </c>
      <c r="I11" s="392">
        <v>0.85</v>
      </c>
      <c r="N11" s="199" t="s">
        <v>264</v>
      </c>
      <c r="O11" s="201">
        <v>1133000</v>
      </c>
      <c r="P11" s="237"/>
      <c r="Q11" s="237"/>
      <c r="R11" s="237"/>
      <c r="S11" s="217" t="s">
        <v>981</v>
      </c>
      <c r="U11" s="238" t="s">
        <v>145</v>
      </c>
      <c r="Z11" s="198" t="s">
        <v>581</v>
      </c>
      <c r="AA11" s="233" t="s">
        <v>604</v>
      </c>
      <c r="AB11" s="199" t="s">
        <v>538</v>
      </c>
      <c r="AC11" s="201"/>
      <c r="AD11" s="201" t="s">
        <v>539</v>
      </c>
      <c r="AH11" s="217" t="s">
        <v>823</v>
      </c>
      <c r="AI11" s="233" t="s">
        <v>1258</v>
      </c>
      <c r="AJ11" s="233" t="s">
        <v>949</v>
      </c>
      <c r="AK11" s="233" t="s">
        <v>1265</v>
      </c>
      <c r="AL11" s="217" t="s">
        <v>837</v>
      </c>
      <c r="AM11" s="217" t="s">
        <v>620</v>
      </c>
      <c r="AN11" s="217" t="s">
        <v>174</v>
      </c>
      <c r="AO11" s="217" t="s">
        <v>1354</v>
      </c>
      <c r="AP11" s="449" t="s">
        <v>1147</v>
      </c>
      <c r="AQ11" s="217" t="s">
        <v>77</v>
      </c>
      <c r="AR11" s="217" t="s">
        <v>736</v>
      </c>
      <c r="AS11" s="217" t="s">
        <v>732</v>
      </c>
      <c r="AT11" s="217">
        <v>0</v>
      </c>
      <c r="AU11" s="217" t="s">
        <v>3</v>
      </c>
      <c r="AV11" s="217">
        <v>5</v>
      </c>
      <c r="BB11" s="217" t="s">
        <v>933</v>
      </c>
      <c r="BC11" s="217">
        <v>2.4500000000000002</v>
      </c>
      <c r="BG11" s="217" t="s">
        <v>993</v>
      </c>
      <c r="BH11" s="341">
        <v>200000</v>
      </c>
      <c r="BI11" s="341">
        <v>1000000</v>
      </c>
      <c r="BN11" s="217" t="s">
        <v>1104</v>
      </c>
    </row>
    <row r="12" spans="1:68" x14ac:dyDescent="0.2">
      <c r="C12" s="234" t="s">
        <v>123</v>
      </c>
      <c r="G12" s="217" t="s">
        <v>238</v>
      </c>
      <c r="H12" s="233" t="s">
        <v>1363</v>
      </c>
      <c r="I12" s="233"/>
      <c r="N12" s="199" t="s">
        <v>265</v>
      </c>
      <c r="O12" s="201">
        <v>1142000</v>
      </c>
      <c r="P12" s="237"/>
      <c r="Q12" s="237"/>
      <c r="R12" s="237"/>
      <c r="S12" s="217" t="s">
        <v>977</v>
      </c>
      <c r="U12" s="238" t="s">
        <v>146</v>
      </c>
      <c r="Z12" s="198" t="s">
        <v>587</v>
      </c>
      <c r="AA12" s="233" t="s">
        <v>605</v>
      </c>
      <c r="AB12" s="199" t="s">
        <v>540</v>
      </c>
      <c r="AC12" s="201" t="s">
        <v>529</v>
      </c>
      <c r="AD12" s="201"/>
      <c r="AH12" s="233" t="s">
        <v>820</v>
      </c>
      <c r="AI12" s="233"/>
      <c r="AJ12" s="233"/>
      <c r="AK12" s="233"/>
      <c r="AL12" s="233" t="s">
        <v>942</v>
      </c>
      <c r="AM12" s="217" t="s">
        <v>621</v>
      </c>
      <c r="AN12" s="217" t="s">
        <v>174</v>
      </c>
      <c r="AO12" s="217" t="s">
        <v>1354</v>
      </c>
      <c r="AP12" s="449" t="s">
        <v>1143</v>
      </c>
      <c r="AQ12" s="217" t="s">
        <v>77</v>
      </c>
      <c r="AR12" s="217" t="s">
        <v>737</v>
      </c>
      <c r="AS12" s="217" t="s">
        <v>732</v>
      </c>
      <c r="AT12" s="217">
        <v>0</v>
      </c>
      <c r="AU12" s="217" t="s">
        <v>3</v>
      </c>
      <c r="AV12" s="217">
        <v>3</v>
      </c>
      <c r="BB12" s="217" t="s">
        <v>934</v>
      </c>
      <c r="BC12" s="217">
        <v>3</v>
      </c>
      <c r="BG12" s="217" t="s">
        <v>994</v>
      </c>
      <c r="BH12" s="341">
        <v>200000</v>
      </c>
      <c r="BI12" s="341">
        <v>1000000</v>
      </c>
      <c r="BN12" s="217" t="s">
        <v>1105</v>
      </c>
    </row>
    <row r="13" spans="1:68" x14ac:dyDescent="0.2">
      <c r="C13" s="234" t="s">
        <v>124</v>
      </c>
      <c r="G13" s="217" t="s">
        <v>1366</v>
      </c>
      <c r="H13" s="217" t="s">
        <v>9</v>
      </c>
      <c r="I13" s="392">
        <v>1</v>
      </c>
      <c r="J13" s="233"/>
      <c r="K13" s="233"/>
      <c r="N13" s="198" t="s">
        <v>370</v>
      </c>
      <c r="P13" s="237"/>
      <c r="Q13" s="237"/>
      <c r="R13" s="237"/>
      <c r="S13" s="217" t="s">
        <v>430</v>
      </c>
      <c r="U13" s="238" t="s">
        <v>147</v>
      </c>
      <c r="AB13" s="199" t="s">
        <v>541</v>
      </c>
      <c r="AC13" s="201" t="s">
        <v>529</v>
      </c>
      <c r="AD13" s="201"/>
      <c r="AH13" s="217" t="s">
        <v>828</v>
      </c>
      <c r="AI13" s="233" t="s">
        <v>855</v>
      </c>
      <c r="AJ13" s="233" t="s">
        <v>867</v>
      </c>
      <c r="AK13" s="233" t="s">
        <v>874</v>
      </c>
      <c r="AL13" s="217" t="s">
        <v>839</v>
      </c>
      <c r="AM13" s="217" t="s">
        <v>622</v>
      </c>
      <c r="AN13" s="217" t="s">
        <v>174</v>
      </c>
      <c r="AO13" s="217" t="s">
        <v>1354</v>
      </c>
      <c r="AP13" s="449" t="s">
        <v>1154</v>
      </c>
      <c r="AQ13" s="217" t="s">
        <v>77</v>
      </c>
      <c r="AR13" s="217" t="s">
        <v>738</v>
      </c>
      <c r="AS13" s="217" t="s">
        <v>732</v>
      </c>
      <c r="AT13" s="217">
        <v>0</v>
      </c>
      <c r="AU13" s="217" t="s">
        <v>3</v>
      </c>
      <c r="AV13" s="217">
        <v>3</v>
      </c>
      <c r="BB13" s="217" t="s">
        <v>935</v>
      </c>
      <c r="BC13" s="217">
        <v>3.46</v>
      </c>
      <c r="BG13" s="217" t="s">
        <v>995</v>
      </c>
      <c r="BH13" s="341">
        <v>200000</v>
      </c>
      <c r="BI13" s="341">
        <v>1000000</v>
      </c>
      <c r="BN13" s="217" t="s">
        <v>1106</v>
      </c>
    </row>
    <row r="14" spans="1:68" x14ac:dyDescent="0.2">
      <c r="C14" s="234" t="s">
        <v>125</v>
      </c>
      <c r="G14" s="233" t="s">
        <v>234</v>
      </c>
      <c r="H14" s="217" t="s">
        <v>1079</v>
      </c>
      <c r="I14" s="392">
        <v>1</v>
      </c>
      <c r="N14" s="199" t="s">
        <v>266</v>
      </c>
      <c r="O14" s="201">
        <v>1211000</v>
      </c>
      <c r="U14" s="238" t="s">
        <v>148</v>
      </c>
      <c r="AB14" s="233" t="s">
        <v>598</v>
      </c>
      <c r="AC14" s="200"/>
      <c r="AD14" s="200"/>
      <c r="AH14" s="217" t="s">
        <v>829</v>
      </c>
      <c r="AI14" s="233" t="s">
        <v>857</v>
      </c>
      <c r="AJ14" s="233" t="s">
        <v>868</v>
      </c>
      <c r="AK14" s="233" t="s">
        <v>875</v>
      </c>
      <c r="AL14" s="217" t="s">
        <v>838</v>
      </c>
      <c r="AM14" s="217" t="s">
        <v>623</v>
      </c>
      <c r="AN14" s="217" t="s">
        <v>174</v>
      </c>
      <c r="AO14" s="217" t="s">
        <v>1354</v>
      </c>
      <c r="AP14" s="449" t="s">
        <v>1155</v>
      </c>
      <c r="AQ14" s="217" t="s">
        <v>77</v>
      </c>
      <c r="AR14" s="217" t="s">
        <v>739</v>
      </c>
      <c r="AS14" s="217" t="s">
        <v>732</v>
      </c>
      <c r="AT14" s="217">
        <v>0</v>
      </c>
      <c r="AU14" s="217" t="s">
        <v>3</v>
      </c>
      <c r="AV14" s="217">
        <v>15</v>
      </c>
      <c r="BB14" s="217" t="s">
        <v>936</v>
      </c>
      <c r="BC14" s="217">
        <v>2</v>
      </c>
      <c r="BG14" s="217" t="s">
        <v>996</v>
      </c>
      <c r="BH14" s="341">
        <v>200000</v>
      </c>
      <c r="BI14" s="341">
        <v>1000000</v>
      </c>
      <c r="BN14" s="217" t="s">
        <v>1107</v>
      </c>
    </row>
    <row r="15" spans="1:68" x14ac:dyDescent="0.2">
      <c r="C15" s="234" t="s">
        <v>126</v>
      </c>
      <c r="G15" s="217" t="s">
        <v>10</v>
      </c>
      <c r="H15" s="217" t="s">
        <v>448</v>
      </c>
      <c r="I15" s="392">
        <v>1</v>
      </c>
      <c r="N15" s="199" t="s">
        <v>267</v>
      </c>
      <c r="O15" s="201">
        <v>1211001</v>
      </c>
      <c r="U15" s="238" t="s">
        <v>149</v>
      </c>
      <c r="AB15" s="199" t="s">
        <v>543</v>
      </c>
      <c r="AC15" s="201"/>
      <c r="AD15" s="201" t="s">
        <v>529</v>
      </c>
      <c r="AH15" s="217" t="s">
        <v>830</v>
      </c>
      <c r="AI15" s="233" t="s">
        <v>858</v>
      </c>
      <c r="AJ15" s="233" t="s">
        <v>869</v>
      </c>
      <c r="AK15" s="233" t="s">
        <v>876</v>
      </c>
      <c r="AL15" s="233" t="s">
        <v>943</v>
      </c>
      <c r="AM15" s="217" t="s">
        <v>624</v>
      </c>
      <c r="AN15" s="217" t="s">
        <v>174</v>
      </c>
      <c r="AO15" s="217" t="s">
        <v>1354</v>
      </c>
      <c r="AP15" s="449" t="s">
        <v>1156</v>
      </c>
      <c r="AQ15" s="217" t="s">
        <v>77</v>
      </c>
      <c r="AR15" s="217" t="s">
        <v>740</v>
      </c>
      <c r="AS15" s="217" t="s">
        <v>732</v>
      </c>
      <c r="AT15" s="217">
        <v>0</v>
      </c>
      <c r="AU15" s="217" t="s">
        <v>3</v>
      </c>
      <c r="AV15" s="217">
        <v>210</v>
      </c>
      <c r="BB15" s="217" t="s">
        <v>937</v>
      </c>
      <c r="BC15" s="217">
        <v>2.83</v>
      </c>
      <c r="BG15" s="217" t="s">
        <v>997</v>
      </c>
      <c r="BH15" s="341">
        <v>200000</v>
      </c>
      <c r="BI15" s="341">
        <v>1000000</v>
      </c>
      <c r="BN15" s="217" t="s">
        <v>1108</v>
      </c>
    </row>
    <row r="16" spans="1:68" x14ac:dyDescent="0.2">
      <c r="C16" s="235" t="s">
        <v>1470</v>
      </c>
      <c r="G16" s="217" t="s">
        <v>239</v>
      </c>
      <c r="H16" s="217" t="s">
        <v>449</v>
      </c>
      <c r="I16" s="392">
        <v>1</v>
      </c>
      <c r="N16" s="199" t="s">
        <v>268</v>
      </c>
      <c r="O16" s="201">
        <v>1218100</v>
      </c>
      <c r="U16" s="238" t="s">
        <v>150</v>
      </c>
      <c r="AB16" s="199" t="s">
        <v>544</v>
      </c>
      <c r="AC16" s="201"/>
      <c r="AD16" s="201" t="s">
        <v>529</v>
      </c>
      <c r="AH16" s="217" t="s">
        <v>823</v>
      </c>
      <c r="AI16" s="233" t="s">
        <v>1259</v>
      </c>
      <c r="AJ16" s="233" t="s">
        <v>870</v>
      </c>
      <c r="AK16" s="233" t="s">
        <v>1266</v>
      </c>
      <c r="AL16" s="217" t="s">
        <v>840</v>
      </c>
      <c r="AM16" s="217" t="s">
        <v>625</v>
      </c>
      <c r="AN16" s="217" t="s">
        <v>174</v>
      </c>
      <c r="AO16" s="217" t="s">
        <v>1354</v>
      </c>
      <c r="AP16" s="449" t="s">
        <v>1157</v>
      </c>
      <c r="AQ16" s="217" t="s">
        <v>77</v>
      </c>
      <c r="AR16" s="217" t="s">
        <v>738</v>
      </c>
      <c r="AS16" s="217" t="s">
        <v>732</v>
      </c>
      <c r="AT16" s="217">
        <v>0</v>
      </c>
      <c r="AU16" s="217" t="s">
        <v>3</v>
      </c>
      <c r="AV16" s="217">
        <v>1</v>
      </c>
      <c r="BB16" s="217" t="s">
        <v>938</v>
      </c>
      <c r="BC16" s="217">
        <v>3.46</v>
      </c>
      <c r="BG16" s="217" t="s">
        <v>998</v>
      </c>
      <c r="BH16" s="341">
        <v>200000</v>
      </c>
      <c r="BI16" s="341">
        <v>1000000</v>
      </c>
      <c r="BN16" s="217" t="s">
        <v>1109</v>
      </c>
    </row>
    <row r="17" spans="3:66" x14ac:dyDescent="0.2">
      <c r="C17" s="234" t="s">
        <v>1475</v>
      </c>
      <c r="G17" s="217" t="s">
        <v>240</v>
      </c>
      <c r="H17" s="217" t="s">
        <v>1025</v>
      </c>
      <c r="I17" s="392">
        <v>0.9</v>
      </c>
      <c r="N17" s="199" t="s">
        <v>269</v>
      </c>
      <c r="O17" s="201">
        <v>1218201</v>
      </c>
      <c r="U17" s="238" t="s">
        <v>111</v>
      </c>
      <c r="AB17" s="199" t="s">
        <v>545</v>
      </c>
      <c r="AC17" s="201" t="s">
        <v>529</v>
      </c>
      <c r="AD17" s="201"/>
      <c r="AH17" s="233" t="s">
        <v>819</v>
      </c>
      <c r="AL17" s="217" t="s">
        <v>841</v>
      </c>
      <c r="AM17" s="233" t="s">
        <v>865</v>
      </c>
      <c r="AP17" s="449" t="s">
        <v>1158</v>
      </c>
      <c r="BB17" s="217" t="s">
        <v>939</v>
      </c>
      <c r="BC17" s="217">
        <v>4</v>
      </c>
      <c r="BG17" s="217" t="s">
        <v>999</v>
      </c>
      <c r="BH17" s="341">
        <v>200000</v>
      </c>
      <c r="BI17" s="341">
        <v>1000000</v>
      </c>
      <c r="BN17" s="217" t="s">
        <v>1110</v>
      </c>
    </row>
    <row r="18" spans="3:66" x14ac:dyDescent="0.2">
      <c r="C18" s="234" t="s">
        <v>1476</v>
      </c>
      <c r="G18" s="217" t="s">
        <v>235</v>
      </c>
      <c r="H18" s="217" t="s">
        <v>1337</v>
      </c>
      <c r="I18" s="392">
        <v>1</v>
      </c>
      <c r="N18" s="199" t="s">
        <v>270</v>
      </c>
      <c r="O18" s="201">
        <v>1219100</v>
      </c>
      <c r="U18" s="238" t="s">
        <v>151</v>
      </c>
      <c r="AB18" s="199" t="s">
        <v>546</v>
      </c>
      <c r="AC18" s="201" t="s">
        <v>539</v>
      </c>
      <c r="AD18" s="201"/>
      <c r="AH18" s="217" t="s">
        <v>1454</v>
      </c>
      <c r="AI18" s="233" t="s">
        <v>1379</v>
      </c>
      <c r="AJ18" s="233" t="s">
        <v>1380</v>
      </c>
      <c r="AK18" s="233" t="s">
        <v>1459</v>
      </c>
      <c r="AL18" s="233" t="s">
        <v>944</v>
      </c>
      <c r="AM18" s="217" t="s">
        <v>639</v>
      </c>
      <c r="AN18" s="217" t="s">
        <v>419</v>
      </c>
      <c r="AO18" s="217" t="s">
        <v>1355</v>
      </c>
      <c r="AP18" s="449" t="s">
        <v>1260</v>
      </c>
      <c r="AQ18" s="217" t="s">
        <v>77</v>
      </c>
      <c r="AR18" s="217" t="s">
        <v>741</v>
      </c>
      <c r="AS18" s="217" t="s">
        <v>724</v>
      </c>
      <c r="AT18" s="217" t="s">
        <v>742</v>
      </c>
      <c r="AU18" s="217">
        <v>2017</v>
      </c>
      <c r="AV18" s="217" t="s">
        <v>743</v>
      </c>
      <c r="BG18" s="217" t="s">
        <v>1000</v>
      </c>
      <c r="BH18" s="341">
        <v>200000</v>
      </c>
      <c r="BI18" s="341">
        <v>1000000</v>
      </c>
      <c r="BN18" s="217" t="s">
        <v>1111</v>
      </c>
    </row>
    <row r="19" spans="3:66" x14ac:dyDescent="0.2">
      <c r="C19" s="234" t="s">
        <v>1477</v>
      </c>
      <c r="H19" s="217" t="s">
        <v>1338</v>
      </c>
      <c r="I19" s="392">
        <v>1</v>
      </c>
      <c r="N19" s="199" t="s">
        <v>271</v>
      </c>
      <c r="O19" s="201">
        <v>1219101</v>
      </c>
      <c r="U19" s="238" t="s">
        <v>152</v>
      </c>
      <c r="AB19" s="199" t="s">
        <v>547</v>
      </c>
      <c r="AC19" s="201"/>
      <c r="AD19" s="201" t="s">
        <v>539</v>
      </c>
      <c r="AH19" s="217" t="s">
        <v>1455</v>
      </c>
      <c r="AI19" s="233" t="s">
        <v>1395</v>
      </c>
      <c r="AJ19" s="233" t="s">
        <v>1397</v>
      </c>
      <c r="AK19" s="233" t="s">
        <v>1460</v>
      </c>
      <c r="AL19" s="217" t="s">
        <v>842</v>
      </c>
      <c r="AM19" s="217" t="s">
        <v>640</v>
      </c>
      <c r="AN19" s="217" t="s">
        <v>419</v>
      </c>
      <c r="AO19" s="217" t="s">
        <v>1355</v>
      </c>
      <c r="AP19" s="449" t="s">
        <v>1261</v>
      </c>
      <c r="AQ19" s="217" t="s">
        <v>722</v>
      </c>
      <c r="AR19" s="217" t="s">
        <v>744</v>
      </c>
      <c r="AS19" s="217" t="s">
        <v>724</v>
      </c>
      <c r="AT19" s="217" t="s">
        <v>745</v>
      </c>
      <c r="AU19" s="217">
        <v>2017</v>
      </c>
      <c r="AV19" s="217" t="s">
        <v>758</v>
      </c>
      <c r="BG19" s="217" t="s">
        <v>1001</v>
      </c>
      <c r="BH19" s="341">
        <v>200000</v>
      </c>
      <c r="BI19" s="341">
        <v>1000000</v>
      </c>
      <c r="BN19" s="217" t="s">
        <v>1112</v>
      </c>
    </row>
    <row r="20" spans="3:66" x14ac:dyDescent="0.2">
      <c r="C20" s="234" t="s">
        <v>1478</v>
      </c>
      <c r="H20" s="217" t="s">
        <v>246</v>
      </c>
      <c r="I20" s="392">
        <v>0.9</v>
      </c>
      <c r="N20" s="199" t="s">
        <v>272</v>
      </c>
      <c r="O20" s="201">
        <v>1219102</v>
      </c>
      <c r="U20" s="238" t="s">
        <v>153</v>
      </c>
      <c r="AB20" s="199" t="s">
        <v>548</v>
      </c>
      <c r="AC20" s="201" t="s">
        <v>529</v>
      </c>
      <c r="AD20" s="201"/>
      <c r="AH20" s="217" t="s">
        <v>1456</v>
      </c>
      <c r="AI20" s="233" t="s">
        <v>1417</v>
      </c>
      <c r="AJ20" s="233" t="s">
        <v>1421</v>
      </c>
      <c r="AK20" s="233" t="s">
        <v>1461</v>
      </c>
      <c r="AL20" s="233" t="s">
        <v>1258</v>
      </c>
      <c r="AM20" s="217" t="s">
        <v>626</v>
      </c>
      <c r="AN20" s="217" t="s">
        <v>174</v>
      </c>
      <c r="AO20" s="217" t="s">
        <v>1354</v>
      </c>
      <c r="AP20" s="449" t="s">
        <v>1159</v>
      </c>
      <c r="AQ20" s="217" t="s">
        <v>77</v>
      </c>
      <c r="AR20" s="217" t="s">
        <v>746</v>
      </c>
      <c r="AS20" s="217" t="s">
        <v>732</v>
      </c>
      <c r="AT20" s="217">
        <v>0</v>
      </c>
      <c r="AU20" s="217" t="s">
        <v>3</v>
      </c>
      <c r="AV20" s="217">
        <v>200</v>
      </c>
      <c r="BG20" s="217" t="s">
        <v>1002</v>
      </c>
      <c r="BH20" s="341">
        <v>200000</v>
      </c>
      <c r="BI20" s="341">
        <v>1000000</v>
      </c>
      <c r="BN20" s="217" t="s">
        <v>1113</v>
      </c>
    </row>
    <row r="21" spans="3:66" x14ac:dyDescent="0.2">
      <c r="C21" s="234" t="s">
        <v>1479</v>
      </c>
      <c r="H21" s="217" t="s">
        <v>1339</v>
      </c>
      <c r="I21" s="392">
        <v>0.9</v>
      </c>
      <c r="N21" s="199" t="s">
        <v>273</v>
      </c>
      <c r="O21" s="201">
        <v>1222000</v>
      </c>
      <c r="U21" s="238" t="s">
        <v>154</v>
      </c>
      <c r="AB21" s="233" t="s">
        <v>599</v>
      </c>
      <c r="AC21" s="200"/>
      <c r="AD21" s="200"/>
      <c r="AH21" s="217" t="s">
        <v>1457</v>
      </c>
      <c r="AI21" s="233" t="s">
        <v>1438</v>
      </c>
      <c r="AJ21" s="233" t="s">
        <v>1458</v>
      </c>
      <c r="AK21" s="233" t="s">
        <v>1462</v>
      </c>
      <c r="AL21" s="217" t="s">
        <v>843</v>
      </c>
      <c r="AM21" s="217" t="s">
        <v>627</v>
      </c>
      <c r="AN21" s="217" t="s">
        <v>174</v>
      </c>
      <c r="AO21" s="217" t="s">
        <v>1354</v>
      </c>
      <c r="AP21" s="449" t="s">
        <v>1160</v>
      </c>
      <c r="AQ21" s="217" t="s">
        <v>77</v>
      </c>
      <c r="AR21" s="217" t="s">
        <v>747</v>
      </c>
      <c r="AS21" s="217" t="s">
        <v>732</v>
      </c>
      <c r="AT21" s="217">
        <v>0</v>
      </c>
      <c r="AU21" s="217" t="s">
        <v>3</v>
      </c>
      <c r="AV21" s="217">
        <v>20</v>
      </c>
      <c r="BG21" s="217" t="s">
        <v>1003</v>
      </c>
      <c r="BH21" s="341">
        <v>200000</v>
      </c>
      <c r="BI21" s="341">
        <v>1000000</v>
      </c>
      <c r="BN21" s="217" t="s">
        <v>1114</v>
      </c>
    </row>
    <row r="22" spans="3:66" x14ac:dyDescent="0.2">
      <c r="C22" s="234" t="s">
        <v>1480</v>
      </c>
      <c r="H22" s="217" t="s">
        <v>1340</v>
      </c>
      <c r="I22" s="392">
        <v>0.9</v>
      </c>
      <c r="N22" s="199" t="s">
        <v>274</v>
      </c>
      <c r="O22" s="201">
        <v>1223000</v>
      </c>
      <c r="U22" s="238" t="s">
        <v>112</v>
      </c>
      <c r="AB22" s="199" t="s">
        <v>550</v>
      </c>
      <c r="AC22" s="201" t="s">
        <v>529</v>
      </c>
      <c r="AD22" s="201"/>
      <c r="AL22" s="233" t="s">
        <v>855</v>
      </c>
      <c r="AM22" s="217" t="s">
        <v>617</v>
      </c>
      <c r="AN22" s="217" t="s">
        <v>174</v>
      </c>
      <c r="AO22" s="217" t="s">
        <v>1354</v>
      </c>
      <c r="AP22" s="449" t="s">
        <v>1161</v>
      </c>
      <c r="AQ22" s="217" t="s">
        <v>77</v>
      </c>
      <c r="AR22" s="217" t="s">
        <v>748</v>
      </c>
      <c r="AS22" s="217" t="s">
        <v>732</v>
      </c>
      <c r="AT22" s="217">
        <v>0</v>
      </c>
      <c r="AU22" s="217" t="s">
        <v>3</v>
      </c>
      <c r="AV22" s="217">
        <v>15</v>
      </c>
      <c r="BG22" s="217" t="s">
        <v>1004</v>
      </c>
      <c r="BH22" s="341">
        <v>200000</v>
      </c>
      <c r="BI22" s="341">
        <v>1000000</v>
      </c>
      <c r="BN22" s="233" t="s">
        <v>1089</v>
      </c>
    </row>
    <row r="23" spans="3:66" x14ac:dyDescent="0.2">
      <c r="C23" s="234" t="s">
        <v>1481</v>
      </c>
      <c r="H23" s="217" t="s">
        <v>1517</v>
      </c>
      <c r="I23" s="392">
        <v>1</v>
      </c>
      <c r="N23" s="199" t="s">
        <v>275</v>
      </c>
      <c r="O23" s="201">
        <v>1225000</v>
      </c>
      <c r="U23" s="238" t="s">
        <v>155</v>
      </c>
      <c r="AB23" s="199" t="s">
        <v>551</v>
      </c>
      <c r="AC23" s="201"/>
      <c r="AD23" s="201" t="s">
        <v>529</v>
      </c>
      <c r="AL23" s="217" t="s">
        <v>844</v>
      </c>
      <c r="AM23" s="217" t="s">
        <v>628</v>
      </c>
      <c r="AN23" s="217" t="s">
        <v>174</v>
      </c>
      <c r="AO23" s="217" t="s">
        <v>1354</v>
      </c>
      <c r="AP23" s="449" t="s">
        <v>1162</v>
      </c>
      <c r="AQ23" s="217" t="s">
        <v>77</v>
      </c>
      <c r="AR23" s="217" t="s">
        <v>749</v>
      </c>
      <c r="AS23" s="217" t="s">
        <v>732</v>
      </c>
      <c r="AT23" s="217">
        <v>0</v>
      </c>
      <c r="AU23" s="217" t="s">
        <v>3</v>
      </c>
      <c r="AV23" s="217">
        <v>10</v>
      </c>
      <c r="BG23" s="217" t="s">
        <v>1005</v>
      </c>
      <c r="BH23" s="341">
        <v>200000</v>
      </c>
      <c r="BI23" s="341">
        <v>600000</v>
      </c>
      <c r="BN23" s="217" t="s">
        <v>1115</v>
      </c>
    </row>
    <row r="24" spans="3:66" x14ac:dyDescent="0.2">
      <c r="C24" s="234" t="s">
        <v>1482</v>
      </c>
      <c r="H24" s="217" t="s">
        <v>1518</v>
      </c>
      <c r="I24" s="392">
        <v>0.9</v>
      </c>
      <c r="N24" s="199" t="s">
        <v>276</v>
      </c>
      <c r="O24" s="201">
        <v>1226100</v>
      </c>
      <c r="U24" s="238" t="s">
        <v>156</v>
      </c>
      <c r="AB24" s="199" t="s">
        <v>552</v>
      </c>
      <c r="AC24" s="201"/>
      <c r="AD24" s="201" t="s">
        <v>529</v>
      </c>
      <c r="AL24" s="233" t="s">
        <v>857</v>
      </c>
      <c r="AM24" s="217" t="s">
        <v>629</v>
      </c>
      <c r="AN24" s="217" t="s">
        <v>174</v>
      </c>
      <c r="AO24" s="217" t="s">
        <v>1354</v>
      </c>
      <c r="AP24" s="449" t="s">
        <v>1163</v>
      </c>
      <c r="AQ24" s="217" t="s">
        <v>77</v>
      </c>
      <c r="AR24" s="217" t="s">
        <v>750</v>
      </c>
      <c r="AS24" s="217" t="s">
        <v>732</v>
      </c>
      <c r="AT24" s="217">
        <v>0</v>
      </c>
      <c r="AU24" s="217" t="s">
        <v>3</v>
      </c>
      <c r="AV24" s="217">
        <v>15</v>
      </c>
      <c r="BG24" s="217" t="s">
        <v>1006</v>
      </c>
      <c r="BH24" s="341">
        <v>200000</v>
      </c>
      <c r="BI24" s="341">
        <v>1000000</v>
      </c>
      <c r="BN24" s="217" t="s">
        <v>1116</v>
      </c>
    </row>
    <row r="25" spans="3:66" x14ac:dyDescent="0.2">
      <c r="C25" s="235" t="s">
        <v>128</v>
      </c>
      <c r="H25" s="233" t="s">
        <v>244</v>
      </c>
      <c r="I25" s="392">
        <v>0.85</v>
      </c>
      <c r="N25" s="199" t="s">
        <v>277</v>
      </c>
      <c r="O25" s="201">
        <v>1226101</v>
      </c>
      <c r="U25" s="238" t="s">
        <v>157</v>
      </c>
      <c r="AB25" s="199" t="s">
        <v>553</v>
      </c>
      <c r="AC25" s="201"/>
      <c r="AD25" s="201" t="s">
        <v>529</v>
      </c>
      <c r="AL25" s="217" t="s">
        <v>845</v>
      </c>
      <c r="AM25" s="217" t="s">
        <v>630</v>
      </c>
      <c r="AN25" s="217" t="s">
        <v>174</v>
      </c>
      <c r="AO25" s="217" t="s">
        <v>1354</v>
      </c>
      <c r="AP25" s="449" t="s">
        <v>1164</v>
      </c>
      <c r="AQ25" s="217" t="s">
        <v>77</v>
      </c>
      <c r="AR25" s="217" t="s">
        <v>750</v>
      </c>
      <c r="AS25" s="217" t="s">
        <v>732</v>
      </c>
      <c r="AT25" s="217">
        <v>0</v>
      </c>
      <c r="AU25" s="217" t="s">
        <v>3</v>
      </c>
      <c r="AV25" s="217">
        <v>15</v>
      </c>
      <c r="BG25" s="217" t="s">
        <v>1007</v>
      </c>
      <c r="BH25" s="341">
        <v>200000</v>
      </c>
      <c r="BI25" s="341">
        <v>1000000</v>
      </c>
      <c r="BN25" s="217" t="s">
        <v>1117</v>
      </c>
    </row>
    <row r="26" spans="3:66" x14ac:dyDescent="0.2">
      <c r="C26" s="234" t="s">
        <v>127</v>
      </c>
      <c r="H26" s="217" t="s">
        <v>247</v>
      </c>
      <c r="I26" s="392">
        <v>0.85</v>
      </c>
      <c r="N26" s="199" t="s">
        <v>278</v>
      </c>
      <c r="O26" s="201">
        <v>1226300</v>
      </c>
      <c r="U26" s="238" t="s">
        <v>158</v>
      </c>
      <c r="AB26" s="199" t="s">
        <v>554</v>
      </c>
      <c r="AC26" s="201"/>
      <c r="AD26" s="201" t="s">
        <v>529</v>
      </c>
      <c r="AL26" s="217" t="s">
        <v>846</v>
      </c>
      <c r="AM26" s="217" t="s">
        <v>631</v>
      </c>
      <c r="AN26" s="217" t="s">
        <v>174</v>
      </c>
      <c r="AO26" s="217" t="s">
        <v>1354</v>
      </c>
      <c r="AP26" s="449" t="s">
        <v>1165</v>
      </c>
      <c r="AQ26" s="217" t="s">
        <v>77</v>
      </c>
      <c r="AR26" s="217" t="s">
        <v>751</v>
      </c>
      <c r="AS26" s="217" t="s">
        <v>732</v>
      </c>
      <c r="AT26" s="217">
        <v>0</v>
      </c>
      <c r="AU26" s="217" t="s">
        <v>3</v>
      </c>
      <c r="AV26" s="217">
        <v>30</v>
      </c>
      <c r="BG26" s="217" t="s">
        <v>1008</v>
      </c>
      <c r="BH26" s="341">
        <v>200000</v>
      </c>
      <c r="BI26" s="341">
        <v>1000000</v>
      </c>
      <c r="BN26" s="217" t="s">
        <v>1118</v>
      </c>
    </row>
    <row r="27" spans="3:66" ht="12.75" customHeight="1" x14ac:dyDescent="0.2">
      <c r="C27" s="234" t="s">
        <v>129</v>
      </c>
      <c r="H27" s="217" t="s">
        <v>5</v>
      </c>
      <c r="I27" s="392">
        <v>0.85</v>
      </c>
      <c r="N27" s="199" t="s">
        <v>279</v>
      </c>
      <c r="O27" s="201">
        <v>1228100</v>
      </c>
      <c r="U27" s="238" t="s">
        <v>159</v>
      </c>
      <c r="AB27" s="233" t="s">
        <v>600</v>
      </c>
      <c r="AC27" s="200"/>
      <c r="AD27" s="200"/>
      <c r="AL27" s="217" t="s">
        <v>847</v>
      </c>
      <c r="AM27" s="233" t="s">
        <v>1268</v>
      </c>
      <c r="AP27" s="449" t="s">
        <v>1158</v>
      </c>
      <c r="BG27" s="217" t="s">
        <v>1009</v>
      </c>
      <c r="BH27" s="341">
        <v>200000</v>
      </c>
      <c r="BI27" s="341">
        <v>1000000</v>
      </c>
      <c r="BN27" s="217" t="s">
        <v>1119</v>
      </c>
    </row>
    <row r="28" spans="3:66" x14ac:dyDescent="0.2">
      <c r="C28" s="234" t="s">
        <v>131</v>
      </c>
      <c r="H28" s="217" t="s">
        <v>6</v>
      </c>
      <c r="I28" s="392">
        <v>0.85</v>
      </c>
      <c r="N28" s="199" t="s">
        <v>280</v>
      </c>
      <c r="O28" s="201">
        <v>1302000</v>
      </c>
      <c r="U28" s="238" t="s">
        <v>160</v>
      </c>
      <c r="AB28" s="199" t="s">
        <v>556</v>
      </c>
      <c r="AC28" s="201" t="s">
        <v>529</v>
      </c>
      <c r="AD28" s="201"/>
      <c r="AL28" s="233" t="s">
        <v>858</v>
      </c>
      <c r="AM28" s="217" t="s">
        <v>632</v>
      </c>
      <c r="AN28" s="217" t="s">
        <v>419</v>
      </c>
      <c r="AO28" s="217" t="s">
        <v>1355</v>
      </c>
      <c r="AP28" s="449" t="s">
        <v>1262</v>
      </c>
      <c r="AQ28" s="217" t="s">
        <v>752</v>
      </c>
      <c r="AR28" s="217" t="s">
        <v>753</v>
      </c>
      <c r="AS28" s="217" t="s">
        <v>724</v>
      </c>
      <c r="AT28" s="217" t="s">
        <v>725</v>
      </c>
      <c r="AU28" s="217" t="s">
        <v>725</v>
      </c>
      <c r="AV28" s="217" t="s">
        <v>754</v>
      </c>
      <c r="BG28" s="217" t="s">
        <v>1010</v>
      </c>
      <c r="BH28" s="341">
        <v>200000</v>
      </c>
      <c r="BI28" s="341">
        <v>1000000</v>
      </c>
      <c r="BN28" s="233" t="s">
        <v>1091</v>
      </c>
    </row>
    <row r="29" spans="3:66" x14ac:dyDescent="0.2">
      <c r="C29" s="234" t="s">
        <v>131</v>
      </c>
      <c r="H29" s="217" t="s">
        <v>7</v>
      </c>
      <c r="I29" s="392">
        <v>0.85</v>
      </c>
      <c r="N29" s="199" t="s">
        <v>281</v>
      </c>
      <c r="O29" s="201">
        <v>1304000</v>
      </c>
      <c r="U29" s="238" t="s">
        <v>161</v>
      </c>
      <c r="AB29" s="199" t="s">
        <v>294</v>
      </c>
      <c r="AC29" s="201" t="s">
        <v>529</v>
      </c>
      <c r="AD29" s="201"/>
      <c r="AL29" s="217" t="s">
        <v>848</v>
      </c>
      <c r="AM29" s="217" t="s">
        <v>633</v>
      </c>
      <c r="AN29" s="217" t="s">
        <v>419</v>
      </c>
      <c r="AO29" s="217" t="s">
        <v>1355</v>
      </c>
      <c r="AP29" s="449" t="s">
        <v>1270</v>
      </c>
      <c r="AQ29" s="217" t="s">
        <v>752</v>
      </c>
      <c r="AR29" s="217" t="s">
        <v>753</v>
      </c>
      <c r="AS29" s="217" t="s">
        <v>724</v>
      </c>
      <c r="AT29" s="217" t="s">
        <v>725</v>
      </c>
      <c r="AU29" s="217" t="s">
        <v>725</v>
      </c>
      <c r="AV29" s="217" t="s">
        <v>754</v>
      </c>
      <c r="BG29" s="217" t="s">
        <v>1011</v>
      </c>
      <c r="BH29" s="341">
        <v>200000</v>
      </c>
      <c r="BI29" s="341">
        <v>1000000</v>
      </c>
      <c r="BN29" s="217" t="s">
        <v>1120</v>
      </c>
    </row>
    <row r="30" spans="3:66" ht="15" customHeight="1" x14ac:dyDescent="0.2">
      <c r="C30" s="234" t="s">
        <v>132</v>
      </c>
      <c r="H30" s="217" t="s">
        <v>248</v>
      </c>
      <c r="I30" s="392">
        <v>0.85</v>
      </c>
      <c r="N30" s="198" t="s">
        <v>227</v>
      </c>
      <c r="U30" s="238" t="s">
        <v>162</v>
      </c>
      <c r="AB30" s="199" t="s">
        <v>557</v>
      </c>
      <c r="AC30" s="201" t="s">
        <v>529</v>
      </c>
      <c r="AD30" s="201"/>
      <c r="AL30" s="217" t="s">
        <v>849</v>
      </c>
      <c r="AM30" s="217" t="s">
        <v>634</v>
      </c>
      <c r="AN30" s="217" t="s">
        <v>419</v>
      </c>
      <c r="AO30" s="217" t="s">
        <v>1354</v>
      </c>
      <c r="AP30" s="449" t="s">
        <v>1263</v>
      </c>
      <c r="AQ30" s="217" t="s">
        <v>755</v>
      </c>
      <c r="AR30" s="217" t="s">
        <v>753</v>
      </c>
      <c r="AS30" s="217" t="s">
        <v>724</v>
      </c>
      <c r="AT30" s="217" t="s">
        <v>3</v>
      </c>
      <c r="AU30" s="217" t="s">
        <v>3</v>
      </c>
      <c r="AV30" s="217" t="s">
        <v>756</v>
      </c>
      <c r="BG30" s="217" t="s">
        <v>1012</v>
      </c>
      <c r="BH30" s="341">
        <v>200000</v>
      </c>
      <c r="BI30" s="341">
        <v>1000000</v>
      </c>
      <c r="BN30" s="217" t="s">
        <v>1121</v>
      </c>
    </row>
    <row r="31" spans="3:66" ht="12.75" customHeight="1" x14ac:dyDescent="0.2">
      <c r="C31" s="234" t="s">
        <v>130</v>
      </c>
      <c r="H31" s="217" t="s">
        <v>249</v>
      </c>
      <c r="I31" s="392">
        <v>0.85</v>
      </c>
      <c r="N31" s="199" t="s">
        <v>282</v>
      </c>
      <c r="O31" s="201">
        <v>1511000</v>
      </c>
      <c r="U31" s="238" t="s">
        <v>163</v>
      </c>
      <c r="AB31" s="199" t="s">
        <v>558</v>
      </c>
      <c r="AC31" s="201" t="s">
        <v>529</v>
      </c>
      <c r="AD31" s="201"/>
      <c r="AL31" s="217" t="s">
        <v>850</v>
      </c>
      <c r="AM31" s="217" t="s">
        <v>635</v>
      </c>
      <c r="AN31" s="217" t="s">
        <v>174</v>
      </c>
      <c r="AO31" s="217" t="s">
        <v>1354</v>
      </c>
      <c r="AP31" s="449" t="s">
        <v>1166</v>
      </c>
      <c r="AQ31" s="217" t="s">
        <v>77</v>
      </c>
      <c r="AR31" s="217" t="s">
        <v>749</v>
      </c>
      <c r="AS31" s="217" t="s">
        <v>732</v>
      </c>
      <c r="AT31" s="217">
        <v>0</v>
      </c>
      <c r="AU31" s="217" t="s">
        <v>3</v>
      </c>
      <c r="AV31" s="217">
        <v>10</v>
      </c>
      <c r="BG31" s="217" t="s">
        <v>1013</v>
      </c>
      <c r="BH31" s="341">
        <v>200000</v>
      </c>
      <c r="BI31" s="341">
        <v>1000000</v>
      </c>
      <c r="BN31" s="217" t="s">
        <v>1122</v>
      </c>
    </row>
    <row r="32" spans="3:66" x14ac:dyDescent="0.2">
      <c r="C32" s="234" t="s">
        <v>133</v>
      </c>
      <c r="H32" s="217" t="s">
        <v>37</v>
      </c>
      <c r="N32" s="199" t="s">
        <v>283</v>
      </c>
      <c r="O32" s="201">
        <v>1511002</v>
      </c>
      <c r="U32" s="238" t="s">
        <v>164</v>
      </c>
      <c r="AB32" s="199" t="s">
        <v>559</v>
      </c>
      <c r="AC32" s="201" t="s">
        <v>529</v>
      </c>
      <c r="AD32" s="201"/>
      <c r="AL32" s="217" t="s">
        <v>851</v>
      </c>
      <c r="AM32" s="217" t="s">
        <v>636</v>
      </c>
      <c r="AN32" s="217" t="s">
        <v>174</v>
      </c>
      <c r="AO32" s="217" t="s">
        <v>1354</v>
      </c>
      <c r="AP32" s="449" t="s">
        <v>1167</v>
      </c>
      <c r="AQ32" s="217" t="s">
        <v>77</v>
      </c>
      <c r="AR32" s="217" t="s">
        <v>749</v>
      </c>
      <c r="AS32" s="217" t="s">
        <v>732</v>
      </c>
      <c r="AT32" s="217">
        <v>0</v>
      </c>
      <c r="AU32" s="217" t="s">
        <v>3</v>
      </c>
      <c r="AV32" s="217">
        <v>25</v>
      </c>
      <c r="BG32" s="217" t="s">
        <v>1014</v>
      </c>
      <c r="BH32" s="341">
        <v>200000</v>
      </c>
      <c r="BI32" s="341">
        <v>1000000</v>
      </c>
      <c r="BN32" s="217" t="s">
        <v>1123</v>
      </c>
    </row>
    <row r="33" spans="3:66" x14ac:dyDescent="0.2">
      <c r="C33" s="234" t="s">
        <v>134</v>
      </c>
      <c r="N33" s="199" t="s">
        <v>284</v>
      </c>
      <c r="O33" s="201">
        <v>1511200</v>
      </c>
      <c r="U33" s="238" t="s">
        <v>165</v>
      </c>
      <c r="AB33" s="199" t="s">
        <v>560</v>
      </c>
      <c r="AC33" s="201"/>
      <c r="AD33" s="201" t="s">
        <v>529</v>
      </c>
      <c r="AL33" s="233" t="s">
        <v>1259</v>
      </c>
      <c r="AM33" s="217" t="s">
        <v>637</v>
      </c>
      <c r="AN33" s="217" t="s">
        <v>174</v>
      </c>
      <c r="AO33" s="217" t="s">
        <v>1354</v>
      </c>
      <c r="AP33" s="449" t="s">
        <v>1168</v>
      </c>
      <c r="AQ33" s="217" t="s">
        <v>77</v>
      </c>
      <c r="AR33" s="217" t="s">
        <v>757</v>
      </c>
      <c r="AS33" s="217" t="s">
        <v>732</v>
      </c>
      <c r="AT33" s="217">
        <v>0</v>
      </c>
      <c r="AU33" s="217" t="s">
        <v>3</v>
      </c>
      <c r="AV33" s="217">
        <v>30</v>
      </c>
      <c r="BG33" s="217" t="s">
        <v>1015</v>
      </c>
      <c r="BH33" s="341">
        <v>200000</v>
      </c>
      <c r="BI33" s="341">
        <v>1000000</v>
      </c>
      <c r="BN33" s="217" t="s">
        <v>1124</v>
      </c>
    </row>
    <row r="34" spans="3:66" x14ac:dyDescent="0.2">
      <c r="C34" s="234" t="s">
        <v>135</v>
      </c>
      <c r="N34" s="199" t="s">
        <v>11</v>
      </c>
      <c r="O34" s="201">
        <v>1511300</v>
      </c>
      <c r="U34" s="238" t="s">
        <v>166</v>
      </c>
      <c r="AB34" s="199" t="s">
        <v>561</v>
      </c>
      <c r="AC34" s="201"/>
      <c r="AD34" s="201" t="s">
        <v>529</v>
      </c>
      <c r="AL34" s="217" t="s">
        <v>852</v>
      </c>
      <c r="AM34" s="233" t="s">
        <v>945</v>
      </c>
      <c r="AP34" s="449" t="s">
        <v>1158</v>
      </c>
      <c r="BG34" s="217" t="s">
        <v>1016</v>
      </c>
      <c r="BH34" s="341">
        <v>25000</v>
      </c>
      <c r="BI34" s="341">
        <v>200000</v>
      </c>
      <c r="BN34" s="233" t="s">
        <v>1093</v>
      </c>
    </row>
    <row r="35" spans="3:66" x14ac:dyDescent="0.2">
      <c r="C35" s="234" t="s">
        <v>136</v>
      </c>
      <c r="N35" s="199" t="s">
        <v>285</v>
      </c>
      <c r="O35" s="201">
        <v>1513000</v>
      </c>
      <c r="AB35" s="199" t="s">
        <v>562</v>
      </c>
      <c r="AC35" s="201"/>
      <c r="AD35" s="201" t="s">
        <v>529</v>
      </c>
      <c r="AL35" s="233" t="s">
        <v>1379</v>
      </c>
      <c r="AM35" s="217" t="s">
        <v>680</v>
      </c>
      <c r="AN35" s="217" t="s">
        <v>419</v>
      </c>
      <c r="AO35" s="217" t="s">
        <v>1355</v>
      </c>
      <c r="AP35" s="449" t="s">
        <v>1169</v>
      </c>
      <c r="AQ35" s="217" t="s">
        <v>77</v>
      </c>
      <c r="AR35" s="217" t="s">
        <v>805</v>
      </c>
      <c r="AS35" s="217" t="s">
        <v>724</v>
      </c>
      <c r="AT35" s="217" t="s">
        <v>806</v>
      </c>
      <c r="AU35" s="217">
        <v>2016</v>
      </c>
      <c r="AV35" s="217">
        <v>65</v>
      </c>
      <c r="BG35" s="217" t="s">
        <v>1017</v>
      </c>
      <c r="BH35" s="341">
        <v>200000</v>
      </c>
      <c r="BI35" s="341">
        <v>1000000</v>
      </c>
      <c r="BN35" s="217" t="s">
        <v>1125</v>
      </c>
    </row>
    <row r="36" spans="3:66" x14ac:dyDescent="0.2">
      <c r="C36" s="234" t="s">
        <v>137</v>
      </c>
      <c r="N36" s="199" t="s">
        <v>286</v>
      </c>
      <c r="O36" s="201">
        <v>1513001</v>
      </c>
      <c r="AB36" s="199" t="s">
        <v>563</v>
      </c>
      <c r="AC36" s="201"/>
      <c r="AD36" s="201" t="s">
        <v>529</v>
      </c>
      <c r="AL36" s="217" t="s">
        <v>1463</v>
      </c>
      <c r="AM36" s="217" t="s">
        <v>681</v>
      </c>
      <c r="AN36" s="217" t="s">
        <v>419</v>
      </c>
      <c r="AO36" s="217" t="s">
        <v>1355</v>
      </c>
      <c r="AP36" s="449" t="s">
        <v>1170</v>
      </c>
      <c r="AQ36" s="217" t="s">
        <v>77</v>
      </c>
      <c r="AR36" s="217" t="s">
        <v>807</v>
      </c>
      <c r="AS36" s="217" t="s">
        <v>724</v>
      </c>
      <c r="AT36" s="217">
        <v>54</v>
      </c>
      <c r="AU36" s="217">
        <v>2016</v>
      </c>
      <c r="AV36" s="217">
        <v>49</v>
      </c>
      <c r="BG36" s="217" t="s">
        <v>1018</v>
      </c>
      <c r="BH36" s="341">
        <v>200000</v>
      </c>
      <c r="BI36" s="341">
        <v>1000000</v>
      </c>
      <c r="BN36" s="217" t="s">
        <v>1126</v>
      </c>
    </row>
    <row r="37" spans="3:66" x14ac:dyDescent="0.2">
      <c r="C37" s="235" t="s">
        <v>1471</v>
      </c>
      <c r="N37" s="199" t="s">
        <v>287</v>
      </c>
      <c r="O37" s="201">
        <v>1513003</v>
      </c>
      <c r="AB37" s="199" t="s">
        <v>564</v>
      </c>
      <c r="AC37" s="201"/>
      <c r="AD37" s="201" t="s">
        <v>529</v>
      </c>
      <c r="AL37" s="233" t="s">
        <v>1395</v>
      </c>
      <c r="AM37" s="217" t="s">
        <v>682</v>
      </c>
      <c r="AN37" s="217" t="s">
        <v>419</v>
      </c>
      <c r="AO37" s="217" t="s">
        <v>1355</v>
      </c>
      <c r="AP37" s="449" t="s">
        <v>1171</v>
      </c>
      <c r="AQ37" s="217" t="s">
        <v>77</v>
      </c>
      <c r="AR37" s="217" t="s">
        <v>808</v>
      </c>
      <c r="AS37" s="217" t="s">
        <v>724</v>
      </c>
      <c r="AT37" s="217">
        <v>367</v>
      </c>
      <c r="AU37" s="217">
        <v>2016</v>
      </c>
      <c r="AV37" s="217">
        <v>500</v>
      </c>
      <c r="BG37" s="217" t="s">
        <v>1019</v>
      </c>
      <c r="BH37" s="341">
        <v>200000</v>
      </c>
      <c r="BI37" s="341">
        <v>1000000</v>
      </c>
      <c r="BN37" s="217" t="s">
        <v>1127</v>
      </c>
    </row>
    <row r="38" spans="3:66" x14ac:dyDescent="0.2">
      <c r="C38" s="234" t="s">
        <v>1483</v>
      </c>
      <c r="N38" s="199" t="s">
        <v>288</v>
      </c>
      <c r="O38" s="201">
        <v>1513004</v>
      </c>
      <c r="AB38" s="233" t="s">
        <v>601</v>
      </c>
      <c r="AC38" s="200"/>
      <c r="AD38" s="200"/>
      <c r="AL38" s="217" t="s">
        <v>1464</v>
      </c>
      <c r="AM38" s="217" t="s">
        <v>683</v>
      </c>
      <c r="AN38" s="217" t="s">
        <v>174</v>
      </c>
      <c r="AO38" s="217" t="s">
        <v>1354</v>
      </c>
      <c r="AP38" s="449" t="s">
        <v>1172</v>
      </c>
      <c r="AQ38" s="217" t="s">
        <v>77</v>
      </c>
      <c r="AR38" s="217" t="s">
        <v>809</v>
      </c>
      <c r="AS38" s="217" t="s">
        <v>732</v>
      </c>
      <c r="AT38" s="217">
        <v>0</v>
      </c>
      <c r="AU38" s="217" t="s">
        <v>3</v>
      </c>
      <c r="AV38" s="217">
        <v>3</v>
      </c>
      <c r="BG38" s="217" t="s">
        <v>1020</v>
      </c>
      <c r="BH38" s="341">
        <v>200000</v>
      </c>
      <c r="BI38" s="341">
        <v>1000000</v>
      </c>
      <c r="BN38" s="217" t="s">
        <v>1128</v>
      </c>
    </row>
    <row r="39" spans="3:66" x14ac:dyDescent="0.2">
      <c r="C39" s="234" t="s">
        <v>1484</v>
      </c>
      <c r="N39" s="199" t="s">
        <v>289</v>
      </c>
      <c r="O39" s="201">
        <v>1513005</v>
      </c>
      <c r="AB39" s="199" t="s">
        <v>566</v>
      </c>
      <c r="AC39" s="201" t="s">
        <v>529</v>
      </c>
      <c r="AD39" s="201"/>
      <c r="AL39" s="217" t="s">
        <v>1465</v>
      </c>
      <c r="AM39" s="217" t="s">
        <v>684</v>
      </c>
      <c r="AN39" s="217" t="s">
        <v>174</v>
      </c>
      <c r="AO39" s="217" t="s">
        <v>1354</v>
      </c>
      <c r="AP39" s="449" t="s">
        <v>1173</v>
      </c>
      <c r="AQ39" s="217" t="s">
        <v>77</v>
      </c>
      <c r="AR39" s="217" t="s">
        <v>785</v>
      </c>
      <c r="AS39" s="217" t="s">
        <v>732</v>
      </c>
      <c r="AT39" s="217">
        <v>0</v>
      </c>
      <c r="AU39" s="217" t="s">
        <v>3</v>
      </c>
      <c r="AV39" s="217">
        <v>5</v>
      </c>
      <c r="BG39" s="217" t="s">
        <v>1021</v>
      </c>
      <c r="BH39" s="341">
        <v>200000</v>
      </c>
      <c r="BI39" s="341">
        <v>1000000</v>
      </c>
      <c r="BN39" s="217" t="s">
        <v>1129</v>
      </c>
    </row>
    <row r="40" spans="3:66" x14ac:dyDescent="0.2">
      <c r="C40" s="234" t="s">
        <v>1485</v>
      </c>
      <c r="N40" s="199" t="s">
        <v>290</v>
      </c>
      <c r="O40" s="201">
        <v>1513006</v>
      </c>
      <c r="AB40" s="199" t="s">
        <v>567</v>
      </c>
      <c r="AC40" s="201"/>
      <c r="AD40" s="201" t="s">
        <v>529</v>
      </c>
      <c r="AL40" s="233" t="s">
        <v>1417</v>
      </c>
      <c r="AM40" s="217" t="s">
        <v>685</v>
      </c>
      <c r="AN40" s="217" t="s">
        <v>174</v>
      </c>
      <c r="AO40" s="217" t="s">
        <v>1354</v>
      </c>
      <c r="AP40" s="449" t="s">
        <v>1174</v>
      </c>
      <c r="AQ40" s="217" t="s">
        <v>77</v>
      </c>
      <c r="AR40" s="217" t="s">
        <v>786</v>
      </c>
      <c r="AS40" s="217" t="s">
        <v>732</v>
      </c>
      <c r="AT40" s="217">
        <v>0</v>
      </c>
      <c r="AU40" s="217" t="s">
        <v>3</v>
      </c>
      <c r="AV40" s="217">
        <v>350</v>
      </c>
      <c r="BG40" s="217" t="s">
        <v>1022</v>
      </c>
      <c r="BH40" s="341">
        <v>200000</v>
      </c>
      <c r="BI40" s="341">
        <v>1000000</v>
      </c>
      <c r="BN40" s="217" t="s">
        <v>1130</v>
      </c>
    </row>
    <row r="41" spans="3:66" x14ac:dyDescent="0.2">
      <c r="C41" s="234" t="s">
        <v>1486</v>
      </c>
      <c r="N41" s="199" t="s">
        <v>291</v>
      </c>
      <c r="O41" s="201">
        <v>1513007</v>
      </c>
      <c r="AB41" s="199" t="s">
        <v>568</v>
      </c>
      <c r="AC41" s="201"/>
      <c r="AD41" s="201" t="s">
        <v>529</v>
      </c>
      <c r="AL41" s="217" t="s">
        <v>1466</v>
      </c>
      <c r="AM41" s="217" t="s">
        <v>686</v>
      </c>
      <c r="AN41" s="217" t="s">
        <v>174</v>
      </c>
      <c r="AO41" s="217" t="s">
        <v>1354</v>
      </c>
      <c r="AP41" s="449" t="s">
        <v>1175</v>
      </c>
      <c r="AQ41" s="217" t="s">
        <v>773</v>
      </c>
      <c r="AR41" s="217" t="s">
        <v>787</v>
      </c>
      <c r="AS41" s="217" t="s">
        <v>732</v>
      </c>
      <c r="AT41" s="217" t="s">
        <v>454</v>
      </c>
      <c r="AU41" s="217" t="s">
        <v>3</v>
      </c>
      <c r="AV41" s="217" t="s">
        <v>453</v>
      </c>
      <c r="BG41" s="217" t="s">
        <v>1023</v>
      </c>
      <c r="BH41" s="341">
        <v>200000</v>
      </c>
      <c r="BI41" s="341">
        <v>1000000</v>
      </c>
      <c r="BN41" s="217" t="s">
        <v>1131</v>
      </c>
    </row>
    <row r="42" spans="3:66" x14ac:dyDescent="0.2">
      <c r="C42" s="234" t="s">
        <v>1487</v>
      </c>
      <c r="N42" s="199" t="s">
        <v>292</v>
      </c>
      <c r="O42" s="201">
        <v>1513008</v>
      </c>
      <c r="AB42" s="233" t="s">
        <v>602</v>
      </c>
      <c r="AC42" s="200"/>
      <c r="AD42" s="200"/>
      <c r="AL42" s="233" t="s">
        <v>1438</v>
      </c>
      <c r="AM42" s="217" t="s">
        <v>687</v>
      </c>
      <c r="AN42" s="217" t="s">
        <v>174</v>
      </c>
      <c r="AO42" s="217" t="s">
        <v>1354</v>
      </c>
      <c r="AP42" s="449" t="s">
        <v>1176</v>
      </c>
      <c r="AQ42" s="217" t="s">
        <v>773</v>
      </c>
      <c r="AR42" s="217" t="s">
        <v>788</v>
      </c>
      <c r="AS42" s="217" t="s">
        <v>732</v>
      </c>
      <c r="AT42" s="217" t="s">
        <v>454</v>
      </c>
      <c r="AU42" s="217" t="s">
        <v>3</v>
      </c>
      <c r="AV42" s="217" t="s">
        <v>453</v>
      </c>
      <c r="BG42" s="217" t="s">
        <v>1024</v>
      </c>
      <c r="BH42" s="341">
        <v>0</v>
      </c>
      <c r="BI42" s="341">
        <v>100000000</v>
      </c>
      <c r="BN42" s="217" t="s">
        <v>1132</v>
      </c>
    </row>
    <row r="43" spans="3:66" x14ac:dyDescent="0.2">
      <c r="C43" s="234" t="s">
        <v>1488</v>
      </c>
      <c r="N43" s="199" t="s">
        <v>293</v>
      </c>
      <c r="O43" s="201">
        <v>1513009</v>
      </c>
      <c r="AB43" s="199" t="s">
        <v>570</v>
      </c>
      <c r="AC43" s="201"/>
      <c r="AD43" s="201" t="s">
        <v>529</v>
      </c>
      <c r="AL43" s="217" t="s">
        <v>843</v>
      </c>
      <c r="AM43" s="233" t="s">
        <v>946</v>
      </c>
      <c r="AP43" s="449" t="s">
        <v>1158</v>
      </c>
      <c r="BN43" s="217" t="s">
        <v>1133</v>
      </c>
    </row>
    <row r="44" spans="3:66" x14ac:dyDescent="0.2">
      <c r="C44" s="234" t="s">
        <v>1489</v>
      </c>
      <c r="N44" s="199" t="s">
        <v>294</v>
      </c>
      <c r="O44" s="201">
        <v>1513200</v>
      </c>
      <c r="AB44" s="199" t="s">
        <v>571</v>
      </c>
      <c r="AC44" s="201"/>
      <c r="AD44" s="201" t="s">
        <v>529</v>
      </c>
      <c r="AM44" s="217" t="s">
        <v>688</v>
      </c>
      <c r="AN44" s="217" t="s">
        <v>419</v>
      </c>
      <c r="AO44" s="217" t="s">
        <v>1355</v>
      </c>
      <c r="AP44" s="449" t="s">
        <v>1177</v>
      </c>
      <c r="AQ44" s="217" t="s">
        <v>77</v>
      </c>
      <c r="AR44" s="217" t="s">
        <v>789</v>
      </c>
      <c r="AS44" s="217" t="s">
        <v>732</v>
      </c>
      <c r="AT44" s="217">
        <v>0</v>
      </c>
      <c r="AU44" s="217" t="s">
        <v>3</v>
      </c>
      <c r="AV44" s="217">
        <v>360</v>
      </c>
      <c r="BN44" s="233" t="s">
        <v>1095</v>
      </c>
    </row>
    <row r="45" spans="3:66" x14ac:dyDescent="0.2">
      <c r="C45" s="235" t="s">
        <v>178</v>
      </c>
      <c r="N45" s="199" t="s">
        <v>295</v>
      </c>
      <c r="O45" s="201">
        <v>1513500</v>
      </c>
      <c r="AB45" s="199" t="s">
        <v>572</v>
      </c>
      <c r="AC45" s="201"/>
      <c r="AD45" s="201" t="s">
        <v>529</v>
      </c>
      <c r="AM45" s="217" t="s">
        <v>689</v>
      </c>
      <c r="AN45" s="217" t="s">
        <v>419</v>
      </c>
      <c r="AO45" s="217" t="s">
        <v>1355</v>
      </c>
      <c r="AP45" s="449" t="s">
        <v>1178</v>
      </c>
      <c r="AQ45" s="217" t="s">
        <v>77</v>
      </c>
      <c r="AR45" s="217" t="s">
        <v>790</v>
      </c>
      <c r="AS45" s="217" t="s">
        <v>724</v>
      </c>
      <c r="AT45" s="217">
        <v>0</v>
      </c>
      <c r="AU45" s="217" t="s">
        <v>3</v>
      </c>
      <c r="AV45" s="217">
        <v>120</v>
      </c>
      <c r="BN45" s="217" t="s">
        <v>1134</v>
      </c>
    </row>
    <row r="46" spans="3:66" x14ac:dyDescent="0.2">
      <c r="C46" s="234" t="s">
        <v>177</v>
      </c>
      <c r="N46" s="199" t="s">
        <v>296</v>
      </c>
      <c r="O46" s="201">
        <v>1513600</v>
      </c>
      <c r="AB46" s="199" t="s">
        <v>573</v>
      </c>
      <c r="AC46" s="201"/>
      <c r="AD46" s="201" t="s">
        <v>529</v>
      </c>
      <c r="AM46" s="217" t="s">
        <v>690</v>
      </c>
      <c r="AN46" s="217" t="s">
        <v>419</v>
      </c>
      <c r="AO46" s="217" t="s">
        <v>1355</v>
      </c>
      <c r="AP46" s="449" t="s">
        <v>1179</v>
      </c>
      <c r="AQ46" s="217" t="s">
        <v>77</v>
      </c>
      <c r="AR46" s="217" t="s">
        <v>753</v>
      </c>
      <c r="AS46" s="217" t="s">
        <v>791</v>
      </c>
      <c r="AT46" s="217" t="s">
        <v>3</v>
      </c>
      <c r="AU46" s="217" t="s">
        <v>3</v>
      </c>
      <c r="AV46" s="217">
        <v>180</v>
      </c>
      <c r="BN46" s="217" t="s">
        <v>1135</v>
      </c>
    </row>
    <row r="47" spans="3:66" x14ac:dyDescent="0.2">
      <c r="C47" s="234" t="s">
        <v>179</v>
      </c>
      <c r="N47" s="199" t="s">
        <v>297</v>
      </c>
      <c r="O47" s="201">
        <v>1513700</v>
      </c>
      <c r="AB47" s="199" t="s">
        <v>574</v>
      </c>
      <c r="AC47" s="201" t="s">
        <v>539</v>
      </c>
      <c r="AD47" s="201"/>
      <c r="AM47" s="217" t="s">
        <v>691</v>
      </c>
      <c r="AN47" s="217" t="s">
        <v>174</v>
      </c>
      <c r="AO47" s="217" t="s">
        <v>1354</v>
      </c>
      <c r="AP47" s="449" t="s">
        <v>1180</v>
      </c>
      <c r="AQ47" s="217" t="s">
        <v>77</v>
      </c>
      <c r="AR47" s="217" t="s">
        <v>792</v>
      </c>
      <c r="AS47" s="217" t="s">
        <v>732</v>
      </c>
      <c r="AT47" s="217">
        <v>0</v>
      </c>
      <c r="AU47" s="217" t="s">
        <v>3</v>
      </c>
      <c r="AV47" s="217">
        <v>8</v>
      </c>
      <c r="BN47" s="217" t="s">
        <v>1136</v>
      </c>
    </row>
    <row r="48" spans="3:66" x14ac:dyDescent="0.2">
      <c r="C48" s="234" t="s">
        <v>180</v>
      </c>
      <c r="N48" s="199" t="s">
        <v>298</v>
      </c>
      <c r="O48" s="201">
        <v>1515000</v>
      </c>
      <c r="AB48" s="199" t="s">
        <v>575</v>
      </c>
      <c r="AC48" s="201"/>
      <c r="AD48" s="201" t="s">
        <v>529</v>
      </c>
      <c r="AM48" s="217" t="s">
        <v>692</v>
      </c>
      <c r="AN48" s="217" t="s">
        <v>174</v>
      </c>
      <c r="AO48" s="217" t="s">
        <v>1354</v>
      </c>
      <c r="AP48" s="449" t="s">
        <v>1181</v>
      </c>
      <c r="AQ48" s="217" t="s">
        <v>77</v>
      </c>
      <c r="AR48" s="217" t="s">
        <v>793</v>
      </c>
      <c r="AS48" s="217" t="s">
        <v>732</v>
      </c>
      <c r="AT48" s="217">
        <v>0</v>
      </c>
      <c r="AU48" s="217" t="s">
        <v>3</v>
      </c>
      <c r="AV48" s="217">
        <v>1</v>
      </c>
      <c r="BN48" s="217" t="s">
        <v>1137</v>
      </c>
    </row>
    <row r="49" spans="3:66" x14ac:dyDescent="0.2">
      <c r="C49" s="234" t="s">
        <v>181</v>
      </c>
      <c r="N49" s="199" t="s">
        <v>299</v>
      </c>
      <c r="O49" s="201">
        <v>1515100</v>
      </c>
      <c r="AB49" s="199" t="s">
        <v>576</v>
      </c>
      <c r="AC49" s="201"/>
      <c r="AD49" s="201" t="s">
        <v>529</v>
      </c>
      <c r="AM49" s="217" t="s">
        <v>693</v>
      </c>
      <c r="AN49" s="217" t="s">
        <v>174</v>
      </c>
      <c r="AO49" s="217" t="s">
        <v>1354</v>
      </c>
      <c r="AP49" s="449" t="s">
        <v>1182</v>
      </c>
      <c r="AQ49" s="217" t="s">
        <v>77</v>
      </c>
      <c r="AR49" s="217" t="s">
        <v>793</v>
      </c>
      <c r="AS49" s="217" t="s">
        <v>732</v>
      </c>
      <c r="AT49" s="217">
        <v>0</v>
      </c>
      <c r="AU49" s="217" t="s">
        <v>3</v>
      </c>
      <c r="AV49" s="217">
        <v>2</v>
      </c>
      <c r="BN49" s="217" t="s">
        <v>1138</v>
      </c>
    </row>
    <row r="50" spans="3:66" x14ac:dyDescent="0.2">
      <c r="C50" s="234" t="s">
        <v>182</v>
      </c>
      <c r="N50" s="199" t="s">
        <v>300</v>
      </c>
      <c r="O50" s="201">
        <v>1515300</v>
      </c>
      <c r="AB50" s="233" t="s">
        <v>603</v>
      </c>
      <c r="AC50" s="200"/>
      <c r="AD50" s="200"/>
      <c r="AM50" s="217" t="s">
        <v>694</v>
      </c>
      <c r="AN50" s="217" t="s">
        <v>174</v>
      </c>
      <c r="AO50" s="217" t="s">
        <v>1354</v>
      </c>
      <c r="AP50" s="449" t="s">
        <v>1183</v>
      </c>
      <c r="AQ50" s="217" t="s">
        <v>77</v>
      </c>
      <c r="AR50" s="217" t="s">
        <v>776</v>
      </c>
      <c r="AS50" s="217" t="s">
        <v>732</v>
      </c>
      <c r="AT50" s="217">
        <v>0</v>
      </c>
      <c r="AU50" s="217" t="s">
        <v>3</v>
      </c>
      <c r="AV50" s="217">
        <v>36</v>
      </c>
    </row>
    <row r="51" spans="3:66" x14ac:dyDescent="0.2">
      <c r="C51" s="234" t="s">
        <v>183</v>
      </c>
      <c r="N51" s="199" t="s">
        <v>301</v>
      </c>
      <c r="O51" s="201">
        <v>1516000</v>
      </c>
      <c r="AB51" s="199" t="s">
        <v>578</v>
      </c>
      <c r="AC51" s="201" t="s">
        <v>529</v>
      </c>
      <c r="AD51" s="201"/>
      <c r="AM51" s="217" t="s">
        <v>695</v>
      </c>
      <c r="AN51" s="217" t="s">
        <v>174</v>
      </c>
      <c r="AO51" s="217" t="s">
        <v>1354</v>
      </c>
      <c r="AP51" s="449" t="s">
        <v>1184</v>
      </c>
      <c r="AQ51" s="217" t="s">
        <v>77</v>
      </c>
      <c r="AR51" s="217" t="s">
        <v>776</v>
      </c>
      <c r="AS51" s="217" t="s">
        <v>732</v>
      </c>
      <c r="AT51" s="217">
        <v>0</v>
      </c>
      <c r="AU51" s="217" t="s">
        <v>3</v>
      </c>
      <c r="AV51" s="217">
        <v>30</v>
      </c>
    </row>
    <row r="52" spans="3:66" x14ac:dyDescent="0.2">
      <c r="C52" s="234" t="s">
        <v>184</v>
      </c>
      <c r="N52" s="199" t="s">
        <v>302</v>
      </c>
      <c r="O52" s="201">
        <v>1516004</v>
      </c>
      <c r="AB52" s="199" t="s">
        <v>579</v>
      </c>
      <c r="AC52" s="201" t="s">
        <v>529</v>
      </c>
      <c r="AD52" s="201"/>
      <c r="AM52" s="233" t="s">
        <v>947</v>
      </c>
      <c r="AP52" s="449" t="s">
        <v>1158</v>
      </c>
    </row>
    <row r="53" spans="3:66" x14ac:dyDescent="0.2">
      <c r="C53" s="234" t="s">
        <v>185</v>
      </c>
      <c r="N53" s="199" t="s">
        <v>303</v>
      </c>
      <c r="O53" s="201">
        <v>1516005</v>
      </c>
      <c r="AB53" s="199" t="s">
        <v>580</v>
      </c>
      <c r="AC53" s="201" t="s">
        <v>529</v>
      </c>
      <c r="AD53" s="201" t="s">
        <v>529</v>
      </c>
      <c r="AM53" s="217" t="s">
        <v>696</v>
      </c>
      <c r="AN53" s="217" t="s">
        <v>419</v>
      </c>
      <c r="AO53" s="217" t="s">
        <v>1355</v>
      </c>
      <c r="AP53" s="449" t="s">
        <v>1185</v>
      </c>
      <c r="AQ53" s="217" t="s">
        <v>768</v>
      </c>
      <c r="AR53" s="217" t="s">
        <v>753</v>
      </c>
      <c r="AS53" s="217" t="s">
        <v>724</v>
      </c>
      <c r="AT53" s="217" t="s">
        <v>794</v>
      </c>
      <c r="AU53" s="217" t="s">
        <v>725</v>
      </c>
      <c r="AV53" s="217" t="s">
        <v>726</v>
      </c>
    </row>
    <row r="54" spans="3:66" x14ac:dyDescent="0.2">
      <c r="C54" s="234" t="s">
        <v>186</v>
      </c>
      <c r="N54" s="199" t="s">
        <v>304</v>
      </c>
      <c r="O54" s="201">
        <v>1516020</v>
      </c>
      <c r="AB54" s="233" t="s">
        <v>604</v>
      </c>
      <c r="AC54" s="200"/>
      <c r="AD54" s="200"/>
      <c r="AM54" s="217" t="s">
        <v>697</v>
      </c>
      <c r="AN54" s="217" t="s">
        <v>419</v>
      </c>
      <c r="AO54" s="217" t="s">
        <v>1355</v>
      </c>
      <c r="AP54" s="449" t="s">
        <v>1186</v>
      </c>
      <c r="AQ54" s="217" t="s">
        <v>77</v>
      </c>
      <c r="AR54" s="217" t="s">
        <v>795</v>
      </c>
      <c r="AS54" s="217" t="s">
        <v>724</v>
      </c>
      <c r="AT54" s="217">
        <v>0</v>
      </c>
      <c r="AU54" s="217" t="s">
        <v>3</v>
      </c>
      <c r="AV54" s="217">
        <v>5</v>
      </c>
    </row>
    <row r="55" spans="3:66" x14ac:dyDescent="0.2">
      <c r="C55" s="234" t="s">
        <v>187</v>
      </c>
      <c r="N55" s="199" t="s">
        <v>305</v>
      </c>
      <c r="O55" s="201">
        <v>1517000</v>
      </c>
      <c r="AB55" s="199" t="s">
        <v>582</v>
      </c>
      <c r="AC55" s="201" t="s">
        <v>529</v>
      </c>
      <c r="AD55" s="201"/>
      <c r="AM55" s="217" t="s">
        <v>698</v>
      </c>
      <c r="AN55" s="217" t="s">
        <v>174</v>
      </c>
      <c r="AO55" s="217" t="s">
        <v>1354</v>
      </c>
      <c r="AP55" s="449" t="s">
        <v>1187</v>
      </c>
      <c r="AQ55" s="217" t="s">
        <v>77</v>
      </c>
      <c r="AR55" s="217" t="s">
        <v>796</v>
      </c>
      <c r="AS55" s="217" t="s">
        <v>732</v>
      </c>
      <c r="AT55" s="217">
        <v>0</v>
      </c>
      <c r="AU55" s="217" t="s">
        <v>3</v>
      </c>
      <c r="AV55" s="217">
        <v>10</v>
      </c>
    </row>
    <row r="56" spans="3:66" x14ac:dyDescent="0.2">
      <c r="C56" s="234" t="s">
        <v>188</v>
      </c>
      <c r="N56" s="199" t="s">
        <v>306</v>
      </c>
      <c r="O56" s="201">
        <v>1518500</v>
      </c>
      <c r="AB56" s="199" t="s">
        <v>583</v>
      </c>
      <c r="AC56" s="201" t="s">
        <v>529</v>
      </c>
      <c r="AD56" s="201"/>
      <c r="AM56" s="217" t="s">
        <v>699</v>
      </c>
      <c r="AN56" s="217" t="s">
        <v>174</v>
      </c>
      <c r="AO56" s="217" t="s">
        <v>1354</v>
      </c>
      <c r="AP56" s="449" t="s">
        <v>1188</v>
      </c>
      <c r="AQ56" s="217" t="s">
        <v>77</v>
      </c>
      <c r="AR56" s="217" t="s">
        <v>776</v>
      </c>
      <c r="AS56" s="217" t="s">
        <v>732</v>
      </c>
      <c r="AT56" s="217">
        <v>0</v>
      </c>
      <c r="AU56" s="217" t="s">
        <v>3</v>
      </c>
      <c r="AV56" s="217">
        <v>500</v>
      </c>
    </row>
    <row r="57" spans="3:66" x14ac:dyDescent="0.2">
      <c r="C57" s="234" t="s">
        <v>189</v>
      </c>
      <c r="N57" s="199" t="s">
        <v>307</v>
      </c>
      <c r="O57" s="201">
        <v>1518501</v>
      </c>
      <c r="AB57" s="199" t="s">
        <v>584</v>
      </c>
      <c r="AC57" s="201" t="s">
        <v>529</v>
      </c>
      <c r="AD57" s="201"/>
      <c r="AM57" s="217" t="s">
        <v>700</v>
      </c>
      <c r="AN57" s="217" t="s">
        <v>174</v>
      </c>
      <c r="AO57" s="217" t="s">
        <v>1354</v>
      </c>
      <c r="AP57" s="449" t="s">
        <v>1189</v>
      </c>
      <c r="AQ57" s="217" t="s">
        <v>77</v>
      </c>
      <c r="AR57" s="217" t="s">
        <v>796</v>
      </c>
      <c r="AS57" s="217" t="s">
        <v>732</v>
      </c>
      <c r="AT57" s="217">
        <v>0</v>
      </c>
      <c r="AU57" s="217" t="s">
        <v>3</v>
      </c>
      <c r="AV57" s="217">
        <v>20</v>
      </c>
    </row>
    <row r="58" spans="3:66" x14ac:dyDescent="0.2">
      <c r="C58" s="234" t="s">
        <v>190</v>
      </c>
      <c r="N58" s="199" t="s">
        <v>308</v>
      </c>
      <c r="O58" s="201">
        <v>1606200</v>
      </c>
      <c r="AB58" s="199" t="s">
        <v>585</v>
      </c>
      <c r="AC58" s="201"/>
      <c r="AD58" s="201" t="s">
        <v>529</v>
      </c>
      <c r="AM58" s="217" t="s">
        <v>701</v>
      </c>
      <c r="AN58" s="217" t="s">
        <v>174</v>
      </c>
      <c r="AO58" s="217" t="s">
        <v>1354</v>
      </c>
      <c r="AP58" s="449" t="s">
        <v>1190</v>
      </c>
      <c r="AQ58" s="217" t="s">
        <v>773</v>
      </c>
      <c r="AR58" s="217" t="s">
        <v>776</v>
      </c>
      <c r="AS58" s="217" t="s">
        <v>732</v>
      </c>
      <c r="AT58" s="217" t="s">
        <v>454</v>
      </c>
      <c r="AU58" s="217" t="s">
        <v>3</v>
      </c>
      <c r="AV58" s="217" t="s">
        <v>453</v>
      </c>
    </row>
    <row r="59" spans="3:66" x14ac:dyDescent="0.2">
      <c r="C59" s="235" t="s">
        <v>1472</v>
      </c>
      <c r="N59" s="198" t="s">
        <v>379</v>
      </c>
      <c r="AB59" s="199" t="s">
        <v>586</v>
      </c>
      <c r="AC59" s="201"/>
      <c r="AD59" s="201" t="s">
        <v>539</v>
      </c>
      <c r="AM59" s="217" t="s">
        <v>702</v>
      </c>
      <c r="AN59" s="217" t="s">
        <v>174</v>
      </c>
      <c r="AO59" s="217" t="s">
        <v>1354</v>
      </c>
      <c r="AP59" s="449" t="s">
        <v>1191</v>
      </c>
      <c r="AQ59" s="217" t="s">
        <v>77</v>
      </c>
      <c r="AR59" s="217" t="s">
        <v>797</v>
      </c>
      <c r="AS59" s="217" t="s">
        <v>732</v>
      </c>
      <c r="AT59" s="217">
        <v>0</v>
      </c>
      <c r="AU59" s="217" t="s">
        <v>3</v>
      </c>
      <c r="AV59" s="217">
        <v>160</v>
      </c>
    </row>
    <row r="60" spans="3:66" x14ac:dyDescent="0.2">
      <c r="C60" s="234" t="s">
        <v>1490</v>
      </c>
      <c r="N60" s="199" t="s">
        <v>309</v>
      </c>
      <c r="O60" s="201">
        <v>1516010</v>
      </c>
      <c r="AB60" s="233" t="s">
        <v>605</v>
      </c>
      <c r="AC60" s="200"/>
      <c r="AD60" s="200"/>
      <c r="AM60" s="217" t="s">
        <v>703</v>
      </c>
      <c r="AN60" s="217" t="s">
        <v>174</v>
      </c>
      <c r="AO60" s="217" t="s">
        <v>1354</v>
      </c>
      <c r="AP60" s="449" t="s">
        <v>1192</v>
      </c>
      <c r="AQ60" s="217" t="s">
        <v>77</v>
      </c>
      <c r="AR60" s="217" t="s">
        <v>797</v>
      </c>
      <c r="AS60" s="217" t="s">
        <v>732</v>
      </c>
      <c r="AT60" s="217">
        <v>0</v>
      </c>
      <c r="AU60" s="217" t="s">
        <v>3</v>
      </c>
      <c r="AV60" s="217">
        <v>100</v>
      </c>
    </row>
    <row r="61" spans="3:66" x14ac:dyDescent="0.2">
      <c r="C61" s="234" t="s">
        <v>1491</v>
      </c>
      <c r="N61" s="199" t="s">
        <v>310</v>
      </c>
      <c r="O61" s="201">
        <v>1601000</v>
      </c>
      <c r="AB61" s="199" t="s">
        <v>588</v>
      </c>
      <c r="AC61" s="201" t="s">
        <v>529</v>
      </c>
      <c r="AD61" s="201"/>
      <c r="AM61" s="217" t="s">
        <v>704</v>
      </c>
      <c r="AN61" s="217" t="s">
        <v>174</v>
      </c>
      <c r="AO61" s="217" t="s">
        <v>1354</v>
      </c>
      <c r="AP61" s="449" t="s">
        <v>1193</v>
      </c>
      <c r="AQ61" s="217" t="s">
        <v>77</v>
      </c>
      <c r="AR61" s="217" t="s">
        <v>798</v>
      </c>
      <c r="AS61" s="217" t="s">
        <v>732</v>
      </c>
      <c r="AT61" s="217">
        <v>0</v>
      </c>
      <c r="AU61" s="217" t="s">
        <v>3</v>
      </c>
      <c r="AV61" s="217">
        <v>2</v>
      </c>
    </row>
    <row r="62" spans="3:66" x14ac:dyDescent="0.2">
      <c r="C62" s="234" t="s">
        <v>1492</v>
      </c>
      <c r="N62" s="199" t="s">
        <v>311</v>
      </c>
      <c r="O62" s="201">
        <v>1602000</v>
      </c>
      <c r="AB62" s="199" t="s">
        <v>589</v>
      </c>
      <c r="AC62" s="201"/>
      <c r="AD62" s="201" t="s">
        <v>529</v>
      </c>
      <c r="AM62" s="217" t="s">
        <v>713</v>
      </c>
      <c r="AN62" s="217" t="s">
        <v>174</v>
      </c>
      <c r="AO62" s="217" t="s">
        <v>1354</v>
      </c>
      <c r="AP62" s="449" t="s">
        <v>1194</v>
      </c>
      <c r="AQ62" s="217" t="s">
        <v>77</v>
      </c>
      <c r="AR62" s="217" t="s">
        <v>796</v>
      </c>
      <c r="AS62" s="217" t="s">
        <v>732</v>
      </c>
      <c r="AT62" s="217">
        <v>0</v>
      </c>
      <c r="AU62" s="217" t="s">
        <v>3</v>
      </c>
      <c r="AV62" s="217">
        <v>1</v>
      </c>
    </row>
    <row r="63" spans="3:66" x14ac:dyDescent="0.2">
      <c r="C63" s="234" t="s">
        <v>1493</v>
      </c>
      <c r="N63" s="199" t="s">
        <v>312</v>
      </c>
      <c r="O63" s="201">
        <v>1602001</v>
      </c>
      <c r="AB63" s="199" t="s">
        <v>590</v>
      </c>
      <c r="AC63" s="201"/>
      <c r="AD63" s="201" t="s">
        <v>529</v>
      </c>
      <c r="AM63" s="217" t="s">
        <v>714</v>
      </c>
      <c r="AN63" s="217" t="s">
        <v>174</v>
      </c>
      <c r="AO63" s="217" t="s">
        <v>1354</v>
      </c>
      <c r="AP63" s="449" t="s">
        <v>1195</v>
      </c>
      <c r="AQ63" s="217" t="s">
        <v>77</v>
      </c>
      <c r="AR63" s="217" t="s">
        <v>796</v>
      </c>
      <c r="AS63" s="217" t="s">
        <v>732</v>
      </c>
      <c r="AT63" s="217">
        <v>0</v>
      </c>
      <c r="AU63" s="217" t="s">
        <v>3</v>
      </c>
      <c r="AV63" s="217">
        <v>1</v>
      </c>
    </row>
    <row r="64" spans="3:66" x14ac:dyDescent="0.2">
      <c r="C64" s="234" t="s">
        <v>1494</v>
      </c>
      <c r="N64" s="199" t="s">
        <v>313</v>
      </c>
      <c r="O64" s="201">
        <v>1603000</v>
      </c>
      <c r="AB64" s="199" t="s">
        <v>591</v>
      </c>
      <c r="AC64" s="201"/>
      <c r="AD64" s="201" t="s">
        <v>529</v>
      </c>
      <c r="AM64" s="217" t="s">
        <v>705</v>
      </c>
      <c r="AN64" s="217" t="s">
        <v>174</v>
      </c>
      <c r="AO64" s="217" t="s">
        <v>1354</v>
      </c>
      <c r="AP64" s="449" t="s">
        <v>1196</v>
      </c>
      <c r="AQ64" s="217" t="s">
        <v>77</v>
      </c>
      <c r="AR64" s="217" t="s">
        <v>776</v>
      </c>
      <c r="AS64" s="217" t="s">
        <v>732</v>
      </c>
      <c r="AT64" s="217">
        <v>0</v>
      </c>
      <c r="AU64" s="217" t="s">
        <v>3</v>
      </c>
      <c r="AV64" s="217">
        <v>45</v>
      </c>
    </row>
    <row r="65" spans="3:48" x14ac:dyDescent="0.2">
      <c r="C65" s="234" t="s">
        <v>1495</v>
      </c>
      <c r="N65" s="199" t="s">
        <v>314</v>
      </c>
      <c r="O65" s="201">
        <v>1604000</v>
      </c>
      <c r="AB65" s="199" t="s">
        <v>592</v>
      </c>
      <c r="AC65" s="201"/>
      <c r="AD65" s="201" t="s">
        <v>529</v>
      </c>
      <c r="AM65" s="233" t="s">
        <v>948</v>
      </c>
      <c r="AP65" s="449" t="s">
        <v>1158</v>
      </c>
    </row>
    <row r="66" spans="3:48" x14ac:dyDescent="0.2">
      <c r="C66" s="234" t="s">
        <v>1496</v>
      </c>
      <c r="N66" s="199" t="s">
        <v>315</v>
      </c>
      <c r="O66" s="201">
        <v>1605000</v>
      </c>
      <c r="AB66" s="199" t="s">
        <v>593</v>
      </c>
      <c r="AC66" s="201"/>
      <c r="AD66" s="201" t="s">
        <v>529</v>
      </c>
      <c r="AM66" s="217" t="s">
        <v>706</v>
      </c>
      <c r="AN66" s="217" t="s">
        <v>419</v>
      </c>
      <c r="AO66" s="217" t="s">
        <v>1355</v>
      </c>
      <c r="AP66" s="449" t="s">
        <v>1197</v>
      </c>
      <c r="AQ66" s="217" t="s">
        <v>722</v>
      </c>
      <c r="AR66" s="217" t="s">
        <v>796</v>
      </c>
      <c r="AS66" s="217" t="s">
        <v>724</v>
      </c>
      <c r="AT66" s="217">
        <v>43619</v>
      </c>
      <c r="AU66" s="217">
        <v>2016</v>
      </c>
      <c r="AV66" s="217">
        <v>4</v>
      </c>
    </row>
    <row r="67" spans="3:48" x14ac:dyDescent="0.2">
      <c r="C67" s="234" t="s">
        <v>1497</v>
      </c>
      <c r="N67" s="199" t="s">
        <v>316</v>
      </c>
      <c r="O67" s="201">
        <v>1606100</v>
      </c>
      <c r="AM67" s="217" t="s">
        <v>707</v>
      </c>
      <c r="AN67" s="217" t="s">
        <v>419</v>
      </c>
      <c r="AO67" s="217" t="s">
        <v>1355</v>
      </c>
      <c r="AP67" s="449" t="s">
        <v>1198</v>
      </c>
      <c r="AQ67" s="217" t="s">
        <v>77</v>
      </c>
      <c r="AR67" s="217" t="s">
        <v>796</v>
      </c>
      <c r="AS67" s="217" t="s">
        <v>732</v>
      </c>
      <c r="AT67" s="217">
        <v>0</v>
      </c>
      <c r="AU67" s="217" t="s">
        <v>3</v>
      </c>
      <c r="AV67" s="217">
        <v>50</v>
      </c>
    </row>
    <row r="68" spans="3:48" x14ac:dyDescent="0.2">
      <c r="C68" s="234" t="s">
        <v>1498</v>
      </c>
      <c r="N68" s="199" t="s">
        <v>317</v>
      </c>
      <c r="O68" s="201">
        <v>1606116</v>
      </c>
      <c r="AM68" s="217" t="s">
        <v>715</v>
      </c>
      <c r="AN68" s="217" t="s">
        <v>419</v>
      </c>
      <c r="AO68" s="217" t="s">
        <v>1355</v>
      </c>
      <c r="AP68" s="449" t="s">
        <v>1199</v>
      </c>
      <c r="AQ68" s="217" t="s">
        <v>755</v>
      </c>
      <c r="AR68" s="217" t="s">
        <v>796</v>
      </c>
      <c r="AS68" s="217" t="s">
        <v>724</v>
      </c>
      <c r="AT68" s="217" t="s">
        <v>799</v>
      </c>
      <c r="AU68" s="217">
        <v>2016</v>
      </c>
      <c r="AV68" s="217" t="s">
        <v>800</v>
      </c>
    </row>
    <row r="69" spans="3:48" x14ac:dyDescent="0.2">
      <c r="C69" s="235" t="s">
        <v>1473</v>
      </c>
      <c r="N69" s="199" t="s">
        <v>318</v>
      </c>
      <c r="O69" s="201">
        <v>1606117</v>
      </c>
      <c r="AM69" s="217" t="s">
        <v>708</v>
      </c>
      <c r="AN69" s="217" t="s">
        <v>174</v>
      </c>
      <c r="AO69" s="217" t="s">
        <v>1354</v>
      </c>
      <c r="AP69" s="449" t="s">
        <v>1200</v>
      </c>
      <c r="AQ69" s="217" t="s">
        <v>77</v>
      </c>
      <c r="AR69" s="217" t="s">
        <v>796</v>
      </c>
      <c r="AS69" s="217" t="s">
        <v>732</v>
      </c>
      <c r="AT69" s="217">
        <v>0</v>
      </c>
      <c r="AU69" s="217" t="s">
        <v>3</v>
      </c>
      <c r="AV69" s="217">
        <v>3</v>
      </c>
    </row>
    <row r="70" spans="3:48" x14ac:dyDescent="0.2">
      <c r="C70" s="234" t="s">
        <v>1499</v>
      </c>
      <c r="N70" s="199" t="s">
        <v>319</v>
      </c>
      <c r="O70" s="201">
        <v>1606118</v>
      </c>
      <c r="AM70" s="217" t="s">
        <v>709</v>
      </c>
      <c r="AN70" s="217" t="s">
        <v>174</v>
      </c>
      <c r="AO70" s="217" t="s">
        <v>1354</v>
      </c>
      <c r="AP70" s="449" t="s">
        <v>1201</v>
      </c>
      <c r="AQ70" s="217" t="s">
        <v>77</v>
      </c>
      <c r="AR70" s="217" t="s">
        <v>788</v>
      </c>
      <c r="AS70" s="217" t="s">
        <v>732</v>
      </c>
      <c r="AT70" s="217">
        <v>0</v>
      </c>
      <c r="AU70" s="217" t="s">
        <v>3</v>
      </c>
      <c r="AV70" s="217">
        <v>6</v>
      </c>
    </row>
    <row r="71" spans="3:48" x14ac:dyDescent="0.2">
      <c r="C71" s="234" t="s">
        <v>1500</v>
      </c>
      <c r="N71" s="199" t="s">
        <v>320</v>
      </c>
      <c r="O71" s="201">
        <v>1606400</v>
      </c>
      <c r="AM71" s="217" t="s">
        <v>710</v>
      </c>
      <c r="AN71" s="217" t="s">
        <v>174</v>
      </c>
      <c r="AO71" s="217" t="s">
        <v>1354</v>
      </c>
      <c r="AP71" s="449" t="s">
        <v>1202</v>
      </c>
      <c r="AQ71" s="217" t="s">
        <v>77</v>
      </c>
      <c r="AR71" s="217" t="s">
        <v>801</v>
      </c>
      <c r="AS71" s="217" t="s">
        <v>732</v>
      </c>
      <c r="AT71" s="217">
        <v>0</v>
      </c>
      <c r="AU71" s="217" t="s">
        <v>3</v>
      </c>
      <c r="AV71" s="217">
        <v>6</v>
      </c>
    </row>
    <row r="72" spans="3:48" x14ac:dyDescent="0.2">
      <c r="C72" s="234" t="s">
        <v>1501</v>
      </c>
      <c r="N72" s="198" t="s">
        <v>373</v>
      </c>
      <c r="AM72" s="233" t="s">
        <v>1267</v>
      </c>
      <c r="AP72" s="449" t="s">
        <v>1158</v>
      </c>
    </row>
    <row r="73" spans="3:48" x14ac:dyDescent="0.2">
      <c r="C73" s="234" t="s">
        <v>1502</v>
      </c>
      <c r="N73" s="199" t="s">
        <v>321</v>
      </c>
      <c r="O73" s="201">
        <v>2303001</v>
      </c>
      <c r="AM73" s="217" t="s">
        <v>632</v>
      </c>
      <c r="AN73" s="217" t="s">
        <v>419</v>
      </c>
      <c r="AO73" s="217" t="s">
        <v>1355</v>
      </c>
      <c r="AP73" s="449" t="s">
        <v>1203</v>
      </c>
      <c r="AQ73" s="217" t="s">
        <v>752</v>
      </c>
      <c r="AR73" s="217" t="s">
        <v>753</v>
      </c>
      <c r="AS73" s="217" t="s">
        <v>724</v>
      </c>
      <c r="AT73" s="217" t="s">
        <v>725</v>
      </c>
      <c r="AU73" s="217">
        <v>2019</v>
      </c>
      <c r="AV73" s="217" t="s">
        <v>780</v>
      </c>
    </row>
    <row r="74" spans="3:48" x14ac:dyDescent="0.2">
      <c r="C74" s="234" t="s">
        <v>1503</v>
      </c>
      <c r="N74" s="199" t="s">
        <v>322</v>
      </c>
      <c r="O74" s="201">
        <v>2303002</v>
      </c>
      <c r="AM74" s="217" t="s">
        <v>633</v>
      </c>
      <c r="AN74" s="217" t="s">
        <v>419</v>
      </c>
      <c r="AO74" s="217" t="s">
        <v>1355</v>
      </c>
      <c r="AP74" s="449" t="s">
        <v>1204</v>
      </c>
      <c r="AQ74" s="217" t="s">
        <v>752</v>
      </c>
      <c r="AR74" s="217" t="s">
        <v>753</v>
      </c>
      <c r="AS74" s="217" t="s">
        <v>724</v>
      </c>
      <c r="AT74" s="217" t="s">
        <v>725</v>
      </c>
      <c r="AU74" s="217">
        <v>2019</v>
      </c>
      <c r="AV74" s="217" t="s">
        <v>780</v>
      </c>
    </row>
    <row r="75" spans="3:48" x14ac:dyDescent="0.2">
      <c r="C75" s="234" t="s">
        <v>1504</v>
      </c>
      <c r="N75" s="199" t="s">
        <v>323</v>
      </c>
      <c r="O75" s="201">
        <v>2311000</v>
      </c>
      <c r="AM75" s="217" t="s">
        <v>634</v>
      </c>
      <c r="AN75" s="217" t="s">
        <v>419</v>
      </c>
      <c r="AO75" s="217" t="s">
        <v>1354</v>
      </c>
      <c r="AP75" s="449" t="s">
        <v>1205</v>
      </c>
      <c r="AQ75" s="217" t="s">
        <v>755</v>
      </c>
      <c r="AR75" s="217" t="s">
        <v>753</v>
      </c>
      <c r="AS75" s="217" t="s">
        <v>724</v>
      </c>
      <c r="AT75" s="217" t="s">
        <v>3</v>
      </c>
      <c r="AU75" s="217" t="s">
        <v>3</v>
      </c>
      <c r="AV75" s="217" t="s">
        <v>781</v>
      </c>
    </row>
    <row r="76" spans="3:48" x14ac:dyDescent="0.2">
      <c r="C76" s="234" t="s">
        <v>1505</v>
      </c>
      <c r="N76" s="199" t="s">
        <v>324</v>
      </c>
      <c r="O76" s="201">
        <v>2318100</v>
      </c>
      <c r="AM76" s="217" t="s">
        <v>637</v>
      </c>
      <c r="AN76" s="217" t="s">
        <v>174</v>
      </c>
      <c r="AO76" s="217" t="s">
        <v>1354</v>
      </c>
      <c r="AP76" s="449" t="s">
        <v>1206</v>
      </c>
      <c r="AQ76" s="217" t="s">
        <v>77</v>
      </c>
      <c r="AR76" s="217" t="s">
        <v>802</v>
      </c>
      <c r="AS76" s="217" t="s">
        <v>732</v>
      </c>
      <c r="AT76" s="217">
        <v>0</v>
      </c>
      <c r="AU76" s="217" t="s">
        <v>3</v>
      </c>
      <c r="AV76" s="217">
        <v>4</v>
      </c>
    </row>
    <row r="77" spans="3:48" x14ac:dyDescent="0.2">
      <c r="C77" s="235" t="s">
        <v>1474</v>
      </c>
      <c r="N77" s="199" t="s">
        <v>325</v>
      </c>
      <c r="O77" s="201">
        <v>2321000</v>
      </c>
      <c r="AM77" s="217" t="s">
        <v>711</v>
      </c>
      <c r="AN77" s="217" t="s">
        <v>174</v>
      </c>
      <c r="AO77" s="217" t="s">
        <v>1354</v>
      </c>
      <c r="AP77" s="449" t="s">
        <v>1207</v>
      </c>
      <c r="AQ77" s="217" t="s">
        <v>77</v>
      </c>
      <c r="AR77" s="217" t="s">
        <v>776</v>
      </c>
      <c r="AS77" s="217" t="s">
        <v>732</v>
      </c>
      <c r="AT77" s="217">
        <v>0</v>
      </c>
      <c r="AU77" s="217" t="s">
        <v>3</v>
      </c>
      <c r="AV77" s="217">
        <v>36</v>
      </c>
    </row>
    <row r="78" spans="3:48" x14ac:dyDescent="0.2">
      <c r="C78" s="234" t="s">
        <v>1506</v>
      </c>
      <c r="N78" s="199" t="s">
        <v>326</v>
      </c>
      <c r="O78" s="201">
        <v>2322000</v>
      </c>
      <c r="AM78" s="217" t="s">
        <v>712</v>
      </c>
      <c r="AN78" s="217" t="s">
        <v>174</v>
      </c>
      <c r="AO78" s="217" t="s">
        <v>1354</v>
      </c>
      <c r="AP78" s="449" t="s">
        <v>1208</v>
      </c>
      <c r="AQ78" s="217" t="s">
        <v>755</v>
      </c>
      <c r="AR78" s="217" t="s">
        <v>802</v>
      </c>
      <c r="AS78" s="217" t="s">
        <v>732</v>
      </c>
      <c r="AT78" s="217" t="s">
        <v>803</v>
      </c>
      <c r="AU78" s="217" t="s">
        <v>3</v>
      </c>
      <c r="AV78" s="217" t="s">
        <v>804</v>
      </c>
    </row>
    <row r="79" spans="3:48" x14ac:dyDescent="0.2">
      <c r="C79" s="234" t="s">
        <v>1507</v>
      </c>
      <c r="N79" s="199" t="s">
        <v>327</v>
      </c>
      <c r="O79" s="201">
        <v>2323000</v>
      </c>
      <c r="AM79" s="233" t="s">
        <v>867</v>
      </c>
      <c r="AP79" s="449" t="s">
        <v>1158</v>
      </c>
    </row>
    <row r="80" spans="3:48" x14ac:dyDescent="0.2">
      <c r="C80" s="234" t="s">
        <v>1508</v>
      </c>
      <c r="N80" s="199" t="s">
        <v>328</v>
      </c>
      <c r="O80" s="201">
        <v>2324000</v>
      </c>
      <c r="AM80" s="217" t="s">
        <v>642</v>
      </c>
      <c r="AN80" s="217" t="s">
        <v>419</v>
      </c>
      <c r="AO80" s="217" t="s">
        <v>1355</v>
      </c>
      <c r="AP80" s="449" t="s">
        <v>1209</v>
      </c>
      <c r="AQ80" s="217" t="s">
        <v>755</v>
      </c>
      <c r="AR80" s="217" t="s">
        <v>753</v>
      </c>
      <c r="AS80" s="217" t="s">
        <v>724</v>
      </c>
      <c r="AT80" s="217" t="s">
        <v>725</v>
      </c>
      <c r="AU80" s="217">
        <v>2019</v>
      </c>
      <c r="AV80" s="217" t="s">
        <v>759</v>
      </c>
    </row>
    <row r="81" spans="3:48" x14ac:dyDescent="0.2">
      <c r="C81" s="234" t="s">
        <v>1509</v>
      </c>
      <c r="N81" s="199" t="s">
        <v>329</v>
      </c>
      <c r="O81" s="201">
        <v>2325000</v>
      </c>
      <c r="AM81" s="217" t="s">
        <v>643</v>
      </c>
      <c r="AN81" s="217" t="s">
        <v>419</v>
      </c>
      <c r="AO81" s="217" t="s">
        <v>1355</v>
      </c>
      <c r="AP81" s="449" t="s">
        <v>1210</v>
      </c>
      <c r="AQ81" s="217" t="s">
        <v>755</v>
      </c>
      <c r="AR81" s="217" t="s">
        <v>753</v>
      </c>
      <c r="AS81" s="217" t="s">
        <v>724</v>
      </c>
      <c r="AT81" s="217" t="s">
        <v>783</v>
      </c>
      <c r="AU81" s="217">
        <v>2019</v>
      </c>
      <c r="AV81" s="217" t="s">
        <v>759</v>
      </c>
    </row>
    <row r="82" spans="3:48" x14ac:dyDescent="0.2">
      <c r="C82" s="234" t="s">
        <v>1510</v>
      </c>
      <c r="N82" s="199" t="s">
        <v>330</v>
      </c>
      <c r="O82" s="201">
        <v>2326000</v>
      </c>
      <c r="AM82" s="217" t="s">
        <v>644</v>
      </c>
      <c r="AN82" s="217" t="s">
        <v>419</v>
      </c>
      <c r="AO82" s="217" t="s">
        <v>1355</v>
      </c>
      <c r="AP82" s="449" t="s">
        <v>1211</v>
      </c>
      <c r="AQ82" s="217" t="s">
        <v>755</v>
      </c>
      <c r="AR82" s="217" t="s">
        <v>753</v>
      </c>
      <c r="AS82" s="217" t="s">
        <v>724</v>
      </c>
      <c r="AT82" s="217" t="s">
        <v>783</v>
      </c>
      <c r="AU82" s="217">
        <v>2019</v>
      </c>
      <c r="AV82" s="217" t="s">
        <v>760</v>
      </c>
    </row>
    <row r="83" spans="3:48" x14ac:dyDescent="0.2">
      <c r="C83" s="234" t="s">
        <v>1511</v>
      </c>
      <c r="N83" s="199" t="s">
        <v>331</v>
      </c>
      <c r="O83" s="201">
        <v>2327000</v>
      </c>
      <c r="AM83" s="217" t="s">
        <v>645</v>
      </c>
      <c r="AN83" s="217" t="s">
        <v>419</v>
      </c>
      <c r="AO83" s="217" t="s">
        <v>1355</v>
      </c>
      <c r="AP83" s="449" t="s">
        <v>1212</v>
      </c>
      <c r="AQ83" s="217" t="s">
        <v>755</v>
      </c>
      <c r="AR83" s="217" t="s">
        <v>753</v>
      </c>
      <c r="AS83" s="217" t="s">
        <v>724</v>
      </c>
      <c r="AT83" s="217" t="s">
        <v>783</v>
      </c>
      <c r="AU83" s="217">
        <v>2019</v>
      </c>
      <c r="AV83" s="217" t="s">
        <v>759</v>
      </c>
    </row>
    <row r="84" spans="3:48" x14ac:dyDescent="0.2">
      <c r="C84" s="234" t="s">
        <v>1512</v>
      </c>
      <c r="N84" s="199" t="s">
        <v>332</v>
      </c>
      <c r="O84" s="201">
        <v>2341000</v>
      </c>
      <c r="AM84" s="217" t="s">
        <v>646</v>
      </c>
      <c r="AN84" s="217" t="s">
        <v>174</v>
      </c>
      <c r="AO84" s="217" t="s">
        <v>1354</v>
      </c>
      <c r="AP84" s="449" t="s">
        <v>1213</v>
      </c>
      <c r="AQ84" s="217" t="s">
        <v>77</v>
      </c>
      <c r="AR84" s="217" t="s">
        <v>761</v>
      </c>
      <c r="AS84" s="217" t="s">
        <v>732</v>
      </c>
      <c r="AT84" s="217">
        <v>0</v>
      </c>
      <c r="AU84" s="217" t="s">
        <v>3</v>
      </c>
      <c r="AV84" s="217">
        <v>10</v>
      </c>
    </row>
    <row r="85" spans="3:48" x14ac:dyDescent="0.2">
      <c r="C85" s="234" t="s">
        <v>1513</v>
      </c>
      <c r="N85" s="198" t="s">
        <v>169</v>
      </c>
      <c r="O85" s="201"/>
      <c r="AM85" s="217" t="s">
        <v>647</v>
      </c>
      <c r="AN85" s="217" t="s">
        <v>174</v>
      </c>
      <c r="AO85" s="217" t="s">
        <v>1354</v>
      </c>
      <c r="AP85" s="449" t="s">
        <v>1214</v>
      </c>
      <c r="AQ85" s="217" t="s">
        <v>77</v>
      </c>
      <c r="AR85" s="217" t="s">
        <v>762</v>
      </c>
      <c r="AS85" s="217" t="s">
        <v>732</v>
      </c>
      <c r="AT85" s="217">
        <v>0</v>
      </c>
      <c r="AU85" s="217" t="s">
        <v>3</v>
      </c>
      <c r="AV85" s="217">
        <v>10</v>
      </c>
    </row>
    <row r="86" spans="3:48" x14ac:dyDescent="0.2">
      <c r="C86" s="234" t="s">
        <v>1514</v>
      </c>
      <c r="N86" s="199" t="s">
        <v>333</v>
      </c>
      <c r="O86" s="201">
        <v>2501000</v>
      </c>
      <c r="AM86" s="217" t="s">
        <v>648</v>
      </c>
      <c r="AN86" s="217" t="s">
        <v>174</v>
      </c>
      <c r="AO86" s="217" t="s">
        <v>1354</v>
      </c>
      <c r="AP86" s="449" t="s">
        <v>1215</v>
      </c>
      <c r="AQ86" s="217" t="s">
        <v>77</v>
      </c>
      <c r="AR86" s="217" t="s">
        <v>763</v>
      </c>
      <c r="AS86" s="217" t="s">
        <v>732</v>
      </c>
      <c r="AT86" s="217">
        <v>0</v>
      </c>
      <c r="AU86" s="217" t="s">
        <v>3</v>
      </c>
      <c r="AV86" s="217">
        <v>25</v>
      </c>
    </row>
    <row r="87" spans="3:48" x14ac:dyDescent="0.2">
      <c r="C87" s="234" t="s">
        <v>1515</v>
      </c>
      <c r="N87" s="199" t="s">
        <v>334</v>
      </c>
      <c r="O87" s="201">
        <v>3218200</v>
      </c>
      <c r="AM87" s="217" t="s">
        <v>649</v>
      </c>
      <c r="AN87" s="217" t="s">
        <v>174</v>
      </c>
      <c r="AO87" s="217" t="s">
        <v>1354</v>
      </c>
      <c r="AP87" s="449" t="s">
        <v>1216</v>
      </c>
      <c r="AQ87" s="217" t="s">
        <v>77</v>
      </c>
      <c r="AR87" s="217" t="s">
        <v>763</v>
      </c>
      <c r="AS87" s="217" t="s">
        <v>732</v>
      </c>
      <c r="AT87" s="217">
        <v>0</v>
      </c>
      <c r="AU87" s="217" t="s">
        <v>3</v>
      </c>
      <c r="AV87" s="217">
        <v>79</v>
      </c>
    </row>
    <row r="88" spans="3:48" x14ac:dyDescent="0.2">
      <c r="C88" s="234" t="s">
        <v>1516</v>
      </c>
      <c r="N88" s="199" t="s">
        <v>335</v>
      </c>
      <c r="O88" s="201">
        <v>3218201</v>
      </c>
      <c r="AM88" s="217" t="s">
        <v>650</v>
      </c>
      <c r="AN88" s="217" t="s">
        <v>174</v>
      </c>
      <c r="AO88" s="217" t="s">
        <v>1354</v>
      </c>
      <c r="AP88" s="449" t="s">
        <v>1217</v>
      </c>
      <c r="AQ88" s="217" t="s">
        <v>77</v>
      </c>
      <c r="AR88" s="217" t="s">
        <v>764</v>
      </c>
      <c r="AS88" s="217" t="s">
        <v>732</v>
      </c>
      <c r="AT88" s="217">
        <v>0</v>
      </c>
      <c r="AU88" s="217" t="s">
        <v>3</v>
      </c>
      <c r="AV88" s="217">
        <v>4</v>
      </c>
    </row>
    <row r="89" spans="3:48" x14ac:dyDescent="0.2">
      <c r="N89" s="199" t="s">
        <v>336</v>
      </c>
      <c r="O89" s="201">
        <v>3218202</v>
      </c>
      <c r="AM89" s="233" t="s">
        <v>868</v>
      </c>
      <c r="AP89" s="449" t="s">
        <v>1158</v>
      </c>
    </row>
    <row r="90" spans="3:48" x14ac:dyDescent="0.2">
      <c r="N90" s="199" t="s">
        <v>337</v>
      </c>
      <c r="O90" s="201">
        <v>3218203</v>
      </c>
      <c r="AM90" s="217" t="s">
        <v>651</v>
      </c>
      <c r="AN90" s="217" t="s">
        <v>419</v>
      </c>
      <c r="AO90" s="217" t="s">
        <v>1355</v>
      </c>
      <c r="AP90" s="449" t="s">
        <v>1218</v>
      </c>
      <c r="AQ90" s="217" t="s">
        <v>77</v>
      </c>
      <c r="AR90" s="217" t="s">
        <v>761</v>
      </c>
      <c r="AS90" s="217" t="s">
        <v>724</v>
      </c>
      <c r="AT90" s="217">
        <v>0</v>
      </c>
      <c r="AU90" s="217">
        <v>2017</v>
      </c>
      <c r="AV90" s="217">
        <v>700</v>
      </c>
    </row>
    <row r="91" spans="3:48" x14ac:dyDescent="0.2">
      <c r="N91" s="198" t="s">
        <v>380</v>
      </c>
      <c r="AM91" s="217" t="s">
        <v>1530</v>
      </c>
      <c r="AN91" s="217" t="s">
        <v>419</v>
      </c>
      <c r="AO91" s="217" t="s">
        <v>1355</v>
      </c>
      <c r="AP91" s="449" t="s">
        <v>1219</v>
      </c>
      <c r="AQ91" s="217" t="s">
        <v>755</v>
      </c>
      <c r="AR91" s="217" t="s">
        <v>761</v>
      </c>
      <c r="AS91" s="217" t="s">
        <v>724</v>
      </c>
      <c r="AT91" s="217" t="s">
        <v>725</v>
      </c>
      <c r="AU91" s="217" t="s">
        <v>3</v>
      </c>
      <c r="AV91" s="217" t="s">
        <v>760</v>
      </c>
    </row>
    <row r="92" spans="3:48" x14ac:dyDescent="0.2">
      <c r="N92" s="199" t="s">
        <v>338</v>
      </c>
      <c r="O92" s="201">
        <v>4101000</v>
      </c>
      <c r="AM92" s="217" t="s">
        <v>652</v>
      </c>
      <c r="AN92" s="217" t="s">
        <v>174</v>
      </c>
      <c r="AO92" s="217" t="s">
        <v>1354</v>
      </c>
      <c r="AP92" s="449" t="s">
        <v>1220</v>
      </c>
      <c r="AQ92" s="217" t="s">
        <v>77</v>
      </c>
      <c r="AR92" s="217" t="s">
        <v>765</v>
      </c>
      <c r="AS92" s="217" t="s">
        <v>732</v>
      </c>
      <c r="AT92" s="217">
        <v>0</v>
      </c>
      <c r="AU92" s="217" t="s">
        <v>3</v>
      </c>
      <c r="AV92" s="217">
        <v>10</v>
      </c>
    </row>
    <row r="93" spans="3:48" x14ac:dyDescent="0.2">
      <c r="N93" s="199" t="s">
        <v>339</v>
      </c>
      <c r="O93" s="201">
        <v>4101001</v>
      </c>
      <c r="AM93" s="217" t="s">
        <v>653</v>
      </c>
      <c r="AN93" s="217" t="s">
        <v>174</v>
      </c>
      <c r="AO93" s="217" t="s">
        <v>1354</v>
      </c>
      <c r="AP93" s="449" t="s">
        <v>1221</v>
      </c>
      <c r="AQ93" s="217" t="s">
        <v>77</v>
      </c>
      <c r="AR93" s="217" t="s">
        <v>766</v>
      </c>
      <c r="AS93" s="217" t="s">
        <v>732</v>
      </c>
      <c r="AT93" s="217">
        <v>0</v>
      </c>
      <c r="AU93" s="217" t="s">
        <v>3</v>
      </c>
      <c r="AV93" s="217">
        <v>35</v>
      </c>
    </row>
    <row r="94" spans="3:48" x14ac:dyDescent="0.2">
      <c r="N94" s="199" t="s">
        <v>340</v>
      </c>
      <c r="O94" s="201">
        <v>4101002</v>
      </c>
      <c r="AM94" s="217" t="s">
        <v>654</v>
      </c>
      <c r="AN94" s="217" t="s">
        <v>174</v>
      </c>
      <c r="AO94" s="217" t="s">
        <v>1354</v>
      </c>
      <c r="AP94" s="449" t="s">
        <v>1222</v>
      </c>
      <c r="AQ94" s="217" t="s">
        <v>77</v>
      </c>
      <c r="AR94" s="217" t="s">
        <v>766</v>
      </c>
      <c r="AS94" s="217" t="s">
        <v>732</v>
      </c>
      <c r="AT94" s="217">
        <v>0</v>
      </c>
      <c r="AU94" s="217" t="s">
        <v>3</v>
      </c>
      <c r="AV94" s="217">
        <v>200</v>
      </c>
    </row>
    <row r="95" spans="3:48" x14ac:dyDescent="0.2">
      <c r="N95" s="199" t="s">
        <v>341</v>
      </c>
      <c r="O95" s="201">
        <v>4101003</v>
      </c>
      <c r="AM95" s="217" t="s">
        <v>655</v>
      </c>
      <c r="AN95" s="217" t="s">
        <v>174</v>
      </c>
      <c r="AO95" s="217" t="s">
        <v>1354</v>
      </c>
      <c r="AP95" s="449" t="s">
        <v>1223</v>
      </c>
      <c r="AQ95" s="217" t="s">
        <v>77</v>
      </c>
      <c r="AR95" s="217" t="s">
        <v>766</v>
      </c>
      <c r="AS95" s="217" t="s">
        <v>732</v>
      </c>
      <c r="AT95" s="217">
        <v>0</v>
      </c>
      <c r="AU95" s="217" t="s">
        <v>3</v>
      </c>
      <c r="AV95" s="217">
        <v>43</v>
      </c>
    </row>
    <row r="96" spans="3:48" x14ac:dyDescent="0.2">
      <c r="N96" s="199" t="s">
        <v>342</v>
      </c>
      <c r="O96" s="201">
        <v>4101004</v>
      </c>
      <c r="AM96" s="217" t="s">
        <v>1148</v>
      </c>
      <c r="AN96" s="217" t="s">
        <v>174</v>
      </c>
      <c r="AO96" s="217" t="s">
        <v>1354</v>
      </c>
      <c r="AP96" s="449" t="s">
        <v>1224</v>
      </c>
      <c r="AQ96" s="217" t="s">
        <v>77</v>
      </c>
      <c r="AR96" s="217" t="s">
        <v>761</v>
      </c>
      <c r="AS96" s="217" t="s">
        <v>732</v>
      </c>
      <c r="AT96" s="217">
        <v>0</v>
      </c>
      <c r="AU96" s="217" t="s">
        <v>3</v>
      </c>
      <c r="AV96" s="217">
        <v>15</v>
      </c>
    </row>
    <row r="97" spans="14:48" x14ac:dyDescent="0.2">
      <c r="N97" s="199" t="s">
        <v>343</v>
      </c>
      <c r="O97" s="201">
        <v>4101005</v>
      </c>
      <c r="AM97" s="217" t="s">
        <v>1149</v>
      </c>
      <c r="AN97" s="217" t="s">
        <v>174</v>
      </c>
      <c r="AO97" s="217" t="s">
        <v>1354</v>
      </c>
      <c r="AP97" s="449" t="s">
        <v>1225</v>
      </c>
      <c r="AQ97" s="217" t="s">
        <v>77</v>
      </c>
      <c r="AR97" s="217" t="s">
        <v>761</v>
      </c>
      <c r="AS97" s="217" t="s">
        <v>732</v>
      </c>
      <c r="AT97" s="217">
        <v>0</v>
      </c>
      <c r="AU97" s="217" t="s">
        <v>3</v>
      </c>
      <c r="AV97" s="217">
        <v>50</v>
      </c>
    </row>
    <row r="98" spans="14:48" x14ac:dyDescent="0.2">
      <c r="N98" s="199" t="s">
        <v>344</v>
      </c>
      <c r="O98" s="201">
        <v>4101006</v>
      </c>
      <c r="AM98" s="217" t="s">
        <v>656</v>
      </c>
      <c r="AN98" s="217" t="s">
        <v>174</v>
      </c>
      <c r="AO98" s="217" t="s">
        <v>1354</v>
      </c>
      <c r="AP98" s="449" t="s">
        <v>1226</v>
      </c>
      <c r="AQ98" s="217" t="s">
        <v>77</v>
      </c>
      <c r="AR98" s="217" t="s">
        <v>761</v>
      </c>
      <c r="AS98" s="217" t="s">
        <v>732</v>
      </c>
      <c r="AT98" s="217">
        <v>0</v>
      </c>
      <c r="AU98" s="217" t="s">
        <v>3</v>
      </c>
      <c r="AV98" s="217">
        <v>43</v>
      </c>
    </row>
    <row r="99" spans="14:48" x14ac:dyDescent="0.2">
      <c r="N99" s="199" t="s">
        <v>345</v>
      </c>
      <c r="O99" s="201">
        <v>4102001</v>
      </c>
      <c r="AM99" s="217" t="s">
        <v>657</v>
      </c>
      <c r="AN99" s="217" t="s">
        <v>174</v>
      </c>
      <c r="AO99" s="217" t="s">
        <v>1354</v>
      </c>
      <c r="AP99" s="449" t="s">
        <v>1227</v>
      </c>
      <c r="AQ99" s="217" t="s">
        <v>77</v>
      </c>
      <c r="AR99" s="217" t="s">
        <v>766</v>
      </c>
      <c r="AS99" s="217" t="s">
        <v>732</v>
      </c>
      <c r="AT99" s="217">
        <v>0</v>
      </c>
      <c r="AU99" s="217" t="s">
        <v>3</v>
      </c>
      <c r="AV99" s="217">
        <v>2</v>
      </c>
    </row>
    <row r="100" spans="14:48" x14ac:dyDescent="0.2">
      <c r="N100" s="199" t="s">
        <v>346</v>
      </c>
      <c r="O100" s="201">
        <v>4102004</v>
      </c>
      <c r="AM100" s="217" t="s">
        <v>658</v>
      </c>
      <c r="AN100" s="217" t="s">
        <v>174</v>
      </c>
      <c r="AO100" s="217" t="s">
        <v>1354</v>
      </c>
      <c r="AP100" s="449" t="s">
        <v>1228</v>
      </c>
      <c r="AQ100" s="217" t="s">
        <v>77</v>
      </c>
      <c r="AR100" s="217" t="s">
        <v>766</v>
      </c>
      <c r="AS100" s="217" t="s">
        <v>732</v>
      </c>
      <c r="AT100" s="217">
        <v>0</v>
      </c>
      <c r="AU100" s="217" t="s">
        <v>3</v>
      </c>
      <c r="AV100" s="217">
        <v>1</v>
      </c>
    </row>
    <row r="101" spans="14:48" x14ac:dyDescent="0.2">
      <c r="N101" s="199" t="s">
        <v>347</v>
      </c>
      <c r="O101" s="201">
        <v>4102005</v>
      </c>
      <c r="AM101" s="217" t="s">
        <v>659</v>
      </c>
      <c r="AN101" s="217" t="s">
        <v>174</v>
      </c>
      <c r="AO101" s="217" t="s">
        <v>1354</v>
      </c>
      <c r="AP101" s="449" t="s">
        <v>1229</v>
      </c>
      <c r="AQ101" s="217" t="s">
        <v>77</v>
      </c>
      <c r="AR101" s="217" t="s">
        <v>766</v>
      </c>
      <c r="AS101" s="217" t="s">
        <v>732</v>
      </c>
      <c r="AT101" s="217">
        <v>0</v>
      </c>
      <c r="AU101" s="217" t="s">
        <v>3</v>
      </c>
      <c r="AV101" s="217">
        <v>2</v>
      </c>
    </row>
    <row r="102" spans="14:48" x14ac:dyDescent="0.2">
      <c r="N102" s="199" t="s">
        <v>348</v>
      </c>
      <c r="O102" s="201">
        <v>4102006</v>
      </c>
      <c r="AM102" s="233" t="s">
        <v>869</v>
      </c>
      <c r="AP102" s="449" t="s">
        <v>1158</v>
      </c>
    </row>
    <row r="103" spans="14:48" x14ac:dyDescent="0.2">
      <c r="N103" s="199" t="s">
        <v>349</v>
      </c>
      <c r="O103" s="201">
        <v>4102007</v>
      </c>
      <c r="AM103" s="217" t="s">
        <v>660</v>
      </c>
      <c r="AN103" s="217" t="s">
        <v>419</v>
      </c>
      <c r="AO103" s="217" t="s">
        <v>1355</v>
      </c>
      <c r="AP103" s="449" t="s">
        <v>1230</v>
      </c>
      <c r="AQ103" s="217" t="s">
        <v>722</v>
      </c>
      <c r="AR103" s="217" t="s">
        <v>767</v>
      </c>
      <c r="AS103" s="217" t="s">
        <v>724</v>
      </c>
      <c r="AT103" s="217">
        <v>708</v>
      </c>
      <c r="AU103" s="217">
        <v>2017</v>
      </c>
      <c r="AV103" s="217">
        <v>800</v>
      </c>
    </row>
    <row r="104" spans="14:48" x14ac:dyDescent="0.2">
      <c r="N104" s="199" t="s">
        <v>350</v>
      </c>
      <c r="O104" s="201">
        <v>4103000</v>
      </c>
      <c r="AM104" s="217" t="s">
        <v>661</v>
      </c>
      <c r="AN104" s="217" t="s">
        <v>419</v>
      </c>
      <c r="AO104" s="217" t="s">
        <v>1355</v>
      </c>
      <c r="AP104" s="449" t="s">
        <v>1231</v>
      </c>
      <c r="AQ104" s="217" t="s">
        <v>768</v>
      </c>
      <c r="AR104" s="217" t="s">
        <v>753</v>
      </c>
      <c r="AS104" s="217" t="s">
        <v>770</v>
      </c>
      <c r="AT104" s="217" t="s">
        <v>725</v>
      </c>
      <c r="AU104" s="217">
        <v>2019</v>
      </c>
      <c r="AV104" s="217" t="s">
        <v>771</v>
      </c>
    </row>
    <row r="105" spans="14:48" x14ac:dyDescent="0.2">
      <c r="N105" s="199" t="s">
        <v>351</v>
      </c>
      <c r="O105" s="201">
        <v>4103001</v>
      </c>
      <c r="AM105" s="217" t="s">
        <v>662</v>
      </c>
      <c r="AN105" s="217" t="s">
        <v>174</v>
      </c>
      <c r="AO105" s="217" t="s">
        <v>1354</v>
      </c>
      <c r="AP105" s="449" t="s">
        <v>1232</v>
      </c>
      <c r="AQ105" s="217" t="s">
        <v>77</v>
      </c>
      <c r="AR105" s="217" t="s">
        <v>772</v>
      </c>
      <c r="AS105" s="217" t="s">
        <v>732</v>
      </c>
      <c r="AT105" s="217">
        <v>0</v>
      </c>
      <c r="AU105" s="217" t="s">
        <v>3</v>
      </c>
      <c r="AV105" s="217">
        <v>7</v>
      </c>
    </row>
    <row r="106" spans="14:48" x14ac:dyDescent="0.2">
      <c r="N106" s="199" t="s">
        <v>352</v>
      </c>
      <c r="O106" s="201">
        <v>4105000</v>
      </c>
      <c r="AM106" s="217" t="s">
        <v>663</v>
      </c>
      <c r="AN106" s="217" t="s">
        <v>174</v>
      </c>
      <c r="AO106" s="217" t="s">
        <v>1354</v>
      </c>
      <c r="AP106" s="449" t="s">
        <v>1233</v>
      </c>
      <c r="AQ106" s="217" t="s">
        <v>773</v>
      </c>
      <c r="AR106" s="217" t="s">
        <v>774</v>
      </c>
      <c r="AS106" s="217" t="s">
        <v>732</v>
      </c>
      <c r="AT106" s="217" t="s">
        <v>454</v>
      </c>
      <c r="AU106" s="217" t="s">
        <v>3</v>
      </c>
      <c r="AV106" s="217" t="s">
        <v>453</v>
      </c>
    </row>
    <row r="107" spans="14:48" x14ac:dyDescent="0.2">
      <c r="N107" s="199" t="s">
        <v>353</v>
      </c>
      <c r="O107" s="201">
        <v>4105801</v>
      </c>
      <c r="AM107" s="217" t="s">
        <v>664</v>
      </c>
      <c r="AN107" s="217" t="s">
        <v>174</v>
      </c>
      <c r="AO107" s="217" t="s">
        <v>1354</v>
      </c>
      <c r="AP107" s="449" t="s">
        <v>1234</v>
      </c>
      <c r="AQ107" s="217" t="s">
        <v>77</v>
      </c>
      <c r="AR107" s="217" t="s">
        <v>775</v>
      </c>
      <c r="AS107" s="217" t="s">
        <v>732</v>
      </c>
      <c r="AT107" s="217">
        <v>0</v>
      </c>
      <c r="AU107" s="217" t="s">
        <v>3</v>
      </c>
      <c r="AV107" s="217">
        <v>1</v>
      </c>
    </row>
    <row r="108" spans="14:48" x14ac:dyDescent="0.2">
      <c r="N108" s="199" t="s">
        <v>354</v>
      </c>
      <c r="O108" s="201">
        <v>4108100</v>
      </c>
      <c r="AM108" s="217" t="s">
        <v>665</v>
      </c>
      <c r="AN108" s="217" t="s">
        <v>174</v>
      </c>
      <c r="AO108" s="217" t="s">
        <v>1354</v>
      </c>
      <c r="AP108" s="449" t="s">
        <v>1235</v>
      </c>
      <c r="AQ108" s="217" t="s">
        <v>77</v>
      </c>
      <c r="AR108" s="217" t="s">
        <v>776</v>
      </c>
      <c r="AS108" s="217" t="s">
        <v>732</v>
      </c>
      <c r="AT108" s="217">
        <v>0</v>
      </c>
      <c r="AU108" s="217" t="s">
        <v>3</v>
      </c>
      <c r="AV108" s="217">
        <v>47</v>
      </c>
    </row>
    <row r="109" spans="14:48" x14ac:dyDescent="0.2">
      <c r="N109" s="198" t="s">
        <v>381</v>
      </c>
      <c r="AM109" s="217" t="s">
        <v>666</v>
      </c>
      <c r="AN109" s="217" t="s">
        <v>174</v>
      </c>
      <c r="AO109" s="217" t="s">
        <v>1354</v>
      </c>
      <c r="AP109" s="449" t="s">
        <v>1236</v>
      </c>
      <c r="AQ109" s="217" t="s">
        <v>77</v>
      </c>
      <c r="AR109" s="217" t="s">
        <v>777</v>
      </c>
      <c r="AS109" s="217" t="s">
        <v>732</v>
      </c>
      <c r="AT109" s="217">
        <v>0</v>
      </c>
      <c r="AU109" s="217" t="s">
        <v>3</v>
      </c>
      <c r="AV109" s="217">
        <v>270</v>
      </c>
    </row>
    <row r="110" spans="14:48" x14ac:dyDescent="0.2">
      <c r="N110" s="199" t="s">
        <v>355</v>
      </c>
      <c r="O110" s="201">
        <v>1118200</v>
      </c>
      <c r="AM110" s="217" t="s">
        <v>667</v>
      </c>
      <c r="AN110" s="217" t="s">
        <v>174</v>
      </c>
      <c r="AO110" s="217" t="s">
        <v>1354</v>
      </c>
      <c r="AP110" s="449" t="s">
        <v>1237</v>
      </c>
      <c r="AQ110" s="217" t="s">
        <v>77</v>
      </c>
      <c r="AR110" s="217" t="s">
        <v>778</v>
      </c>
      <c r="AS110" s="217" t="s">
        <v>732</v>
      </c>
      <c r="AT110" s="217">
        <v>0</v>
      </c>
      <c r="AU110" s="217" t="s">
        <v>3</v>
      </c>
      <c r="AV110" s="217">
        <v>1</v>
      </c>
    </row>
    <row r="111" spans="14:48" x14ac:dyDescent="0.2">
      <c r="N111" s="199" t="s">
        <v>356</v>
      </c>
      <c r="O111" s="201">
        <v>1218200</v>
      </c>
      <c r="AM111" s="217" t="s">
        <v>668</v>
      </c>
      <c r="AN111" s="217" t="s">
        <v>174</v>
      </c>
      <c r="AO111" s="217" t="s">
        <v>1354</v>
      </c>
      <c r="AP111" s="449" t="s">
        <v>1238</v>
      </c>
      <c r="AQ111" s="217" t="s">
        <v>77</v>
      </c>
      <c r="AR111" s="217" t="s">
        <v>779</v>
      </c>
      <c r="AS111" s="217" t="s">
        <v>732</v>
      </c>
      <c r="AT111" s="217">
        <v>0</v>
      </c>
      <c r="AU111" s="217" t="s">
        <v>3</v>
      </c>
      <c r="AV111" s="217">
        <v>10</v>
      </c>
    </row>
    <row r="112" spans="14:48" x14ac:dyDescent="0.2">
      <c r="N112" s="199" t="s">
        <v>357</v>
      </c>
      <c r="O112" s="201">
        <v>2318200</v>
      </c>
      <c r="AM112" s="217" t="s">
        <v>669</v>
      </c>
      <c r="AN112" s="217" t="s">
        <v>174</v>
      </c>
      <c r="AO112" s="217" t="s">
        <v>1354</v>
      </c>
      <c r="AP112" s="449" t="s">
        <v>1239</v>
      </c>
      <c r="AQ112" s="217" t="s">
        <v>77</v>
      </c>
      <c r="AR112" s="217" t="s">
        <v>779</v>
      </c>
      <c r="AS112" s="217" t="s">
        <v>732</v>
      </c>
      <c r="AT112" s="217">
        <v>0</v>
      </c>
      <c r="AU112" s="217" t="s">
        <v>3</v>
      </c>
      <c r="AV112" s="217">
        <v>8</v>
      </c>
    </row>
    <row r="113" spans="14:48" x14ac:dyDescent="0.2">
      <c r="N113" s="199" t="s">
        <v>358</v>
      </c>
      <c r="O113" s="201">
        <v>3118200</v>
      </c>
      <c r="AM113" s="233" t="s">
        <v>1269</v>
      </c>
      <c r="AP113" s="449" t="s">
        <v>1158</v>
      </c>
    </row>
    <row r="114" spans="14:48" x14ac:dyDescent="0.2">
      <c r="N114" s="199" t="s">
        <v>359</v>
      </c>
      <c r="O114" s="201">
        <v>3128200</v>
      </c>
      <c r="AM114" s="217" t="s">
        <v>670</v>
      </c>
      <c r="AN114" s="217" t="s">
        <v>419</v>
      </c>
      <c r="AO114" s="217" t="s">
        <v>1355</v>
      </c>
      <c r="AP114" s="449" t="s">
        <v>1240</v>
      </c>
      <c r="AQ114" s="217" t="s">
        <v>752</v>
      </c>
      <c r="AR114" s="217" t="s">
        <v>753</v>
      </c>
      <c r="AS114" s="217" t="s">
        <v>724</v>
      </c>
      <c r="AT114" s="217" t="s">
        <v>725</v>
      </c>
      <c r="AU114" s="217">
        <v>2018</v>
      </c>
      <c r="AV114" s="217" t="s">
        <v>780</v>
      </c>
    </row>
    <row r="115" spans="14:48" x14ac:dyDescent="0.2">
      <c r="N115" s="199" t="s">
        <v>360</v>
      </c>
      <c r="O115" s="201">
        <v>3138200</v>
      </c>
      <c r="AM115" s="217" t="s">
        <v>671</v>
      </c>
      <c r="AN115" s="217" t="s">
        <v>419</v>
      </c>
      <c r="AO115" s="217" t="s">
        <v>1355</v>
      </c>
      <c r="AP115" s="449" t="s">
        <v>1241</v>
      </c>
      <c r="AQ115" s="217" t="s">
        <v>752</v>
      </c>
      <c r="AR115" s="217" t="s">
        <v>753</v>
      </c>
      <c r="AS115" s="217" t="s">
        <v>724</v>
      </c>
      <c r="AT115" s="217" t="s">
        <v>784</v>
      </c>
      <c r="AU115" s="217">
        <v>2018</v>
      </c>
      <c r="AV115" s="217" t="s">
        <v>780</v>
      </c>
    </row>
    <row r="116" spans="14:48" x14ac:dyDescent="0.2">
      <c r="N116" s="199" t="s">
        <v>361</v>
      </c>
      <c r="O116" s="201">
        <v>4108200</v>
      </c>
      <c r="AM116" s="217" t="s">
        <v>672</v>
      </c>
      <c r="AN116" s="217" t="s">
        <v>419</v>
      </c>
      <c r="AO116" s="217" t="s">
        <v>1355</v>
      </c>
      <c r="AP116" s="449" t="s">
        <v>1369</v>
      </c>
      <c r="AQ116" s="217" t="s">
        <v>77</v>
      </c>
      <c r="AR116" s="217" t="s">
        <v>761</v>
      </c>
      <c r="AS116" s="217" t="s">
        <v>724</v>
      </c>
      <c r="AT116" s="217">
        <v>1</v>
      </c>
      <c r="AU116" s="217">
        <v>2017</v>
      </c>
      <c r="AV116" s="217">
        <v>3</v>
      </c>
    </row>
    <row r="117" spans="14:48" x14ac:dyDescent="0.2">
      <c r="N117" s="199" t="s">
        <v>362</v>
      </c>
      <c r="O117" s="201">
        <v>4308200</v>
      </c>
      <c r="AM117" s="217" t="s">
        <v>673</v>
      </c>
      <c r="AN117" s="217" t="s">
        <v>419</v>
      </c>
      <c r="AO117" s="217" t="s">
        <v>1355</v>
      </c>
      <c r="AP117" s="449" t="s">
        <v>1370</v>
      </c>
      <c r="AQ117" s="217" t="s">
        <v>755</v>
      </c>
      <c r="AR117" s="217" t="s">
        <v>753</v>
      </c>
      <c r="AS117" s="217" t="s">
        <v>724</v>
      </c>
      <c r="AT117" s="217" t="s">
        <v>3</v>
      </c>
      <c r="AU117" s="217" t="s">
        <v>3</v>
      </c>
      <c r="AV117" s="217" t="s">
        <v>781</v>
      </c>
    </row>
    <row r="118" spans="14:48" x14ac:dyDescent="0.2">
      <c r="N118" s="199" t="s">
        <v>363</v>
      </c>
      <c r="O118" s="201">
        <v>4308201</v>
      </c>
      <c r="AM118" s="217" t="s">
        <v>637</v>
      </c>
      <c r="AN118" s="217" t="s">
        <v>174</v>
      </c>
      <c r="AO118" s="217" t="s">
        <v>1354</v>
      </c>
      <c r="AP118" s="449" t="s">
        <v>1242</v>
      </c>
      <c r="AQ118" s="217" t="s">
        <v>77</v>
      </c>
      <c r="AR118" s="217" t="s">
        <v>782</v>
      </c>
      <c r="AS118" s="217" t="s">
        <v>732</v>
      </c>
      <c r="AT118" s="217">
        <v>0</v>
      </c>
      <c r="AU118" s="217" t="s">
        <v>3</v>
      </c>
      <c r="AV118" s="217">
        <v>4</v>
      </c>
    </row>
    <row r="119" spans="14:48" x14ac:dyDescent="0.2">
      <c r="N119" s="199" t="s">
        <v>364</v>
      </c>
      <c r="O119" s="201">
        <v>4308202</v>
      </c>
      <c r="AM119" s="217" t="s">
        <v>674</v>
      </c>
      <c r="AN119" s="217" t="s">
        <v>174</v>
      </c>
      <c r="AO119" s="217" t="s">
        <v>1354</v>
      </c>
      <c r="AP119" s="449" t="s">
        <v>1243</v>
      </c>
      <c r="AQ119" s="217" t="s">
        <v>77</v>
      </c>
      <c r="AR119" s="217" t="s">
        <v>769</v>
      </c>
      <c r="AS119" s="217" t="s">
        <v>732</v>
      </c>
      <c r="AT119" s="217">
        <v>0</v>
      </c>
      <c r="AU119" s="217" t="s">
        <v>3</v>
      </c>
      <c r="AV119" s="217">
        <v>4</v>
      </c>
    </row>
    <row r="120" spans="14:48" x14ac:dyDescent="0.2">
      <c r="N120" s="199" t="s">
        <v>365</v>
      </c>
      <c r="O120" s="201">
        <v>4308203</v>
      </c>
      <c r="AM120" s="217" t="s">
        <v>675</v>
      </c>
      <c r="AN120" s="217" t="s">
        <v>174</v>
      </c>
      <c r="AO120" s="217" t="s">
        <v>1354</v>
      </c>
      <c r="AP120" s="449" t="s">
        <v>1244</v>
      </c>
      <c r="AQ120" s="217" t="s">
        <v>77</v>
      </c>
      <c r="AR120" s="217" t="s">
        <v>769</v>
      </c>
      <c r="AS120" s="217" t="s">
        <v>732</v>
      </c>
      <c r="AT120" s="217">
        <v>0</v>
      </c>
      <c r="AU120" s="217" t="s">
        <v>3</v>
      </c>
      <c r="AV120" s="217">
        <v>4</v>
      </c>
    </row>
    <row r="121" spans="14:48" x14ac:dyDescent="0.2">
      <c r="N121" s="199" t="s">
        <v>366</v>
      </c>
      <c r="O121" s="201">
        <v>4308204</v>
      </c>
      <c r="AM121" s="217" t="s">
        <v>676</v>
      </c>
      <c r="AN121" s="217" t="s">
        <v>174</v>
      </c>
      <c r="AO121" s="217" t="s">
        <v>1354</v>
      </c>
      <c r="AP121" s="449" t="s">
        <v>1245</v>
      </c>
      <c r="AQ121" s="217" t="s">
        <v>77</v>
      </c>
      <c r="AR121" s="217" t="s">
        <v>769</v>
      </c>
      <c r="AS121" s="217" t="s">
        <v>732</v>
      </c>
      <c r="AT121" s="217">
        <v>0</v>
      </c>
      <c r="AU121" s="217" t="s">
        <v>3</v>
      </c>
      <c r="AV121" s="217">
        <v>2</v>
      </c>
    </row>
    <row r="122" spans="14:48" x14ac:dyDescent="0.2">
      <c r="N122" s="199" t="s">
        <v>367</v>
      </c>
      <c r="O122" s="201">
        <v>4308205</v>
      </c>
      <c r="AM122" s="217" t="s">
        <v>677</v>
      </c>
      <c r="AN122" s="217" t="s">
        <v>174</v>
      </c>
      <c r="AO122" s="217" t="s">
        <v>1354</v>
      </c>
      <c r="AP122" s="449" t="s">
        <v>1246</v>
      </c>
      <c r="AQ122" s="217" t="s">
        <v>77</v>
      </c>
      <c r="AR122" s="217" t="s">
        <v>769</v>
      </c>
      <c r="AS122" s="217" t="s">
        <v>732</v>
      </c>
      <c r="AT122" s="217">
        <v>0</v>
      </c>
      <c r="AU122" s="217" t="s">
        <v>3</v>
      </c>
      <c r="AV122" s="217">
        <v>2</v>
      </c>
    </row>
    <row r="123" spans="14:48" x14ac:dyDescent="0.2">
      <c r="N123" s="199" t="s">
        <v>357</v>
      </c>
      <c r="O123" s="201">
        <v>4308206</v>
      </c>
      <c r="AM123" s="217" t="s">
        <v>678</v>
      </c>
      <c r="AN123" s="217" t="s">
        <v>174</v>
      </c>
      <c r="AO123" s="217" t="s">
        <v>1354</v>
      </c>
      <c r="AP123" s="449" t="s">
        <v>1247</v>
      </c>
      <c r="AQ123" s="217" t="s">
        <v>77</v>
      </c>
      <c r="AR123" s="217" t="s">
        <v>776</v>
      </c>
      <c r="AS123" s="217" t="s">
        <v>732</v>
      </c>
      <c r="AT123" s="217">
        <v>0</v>
      </c>
      <c r="AU123" s="217" t="s">
        <v>3</v>
      </c>
      <c r="AV123" s="217">
        <v>2</v>
      </c>
    </row>
    <row r="124" spans="14:48" x14ac:dyDescent="0.2">
      <c r="N124" s="198" t="s">
        <v>382</v>
      </c>
      <c r="O124" s="201"/>
      <c r="AM124" s="233" t="s">
        <v>1380</v>
      </c>
    </row>
    <row r="125" spans="14:48" x14ac:dyDescent="0.2">
      <c r="N125" s="199" t="s">
        <v>368</v>
      </c>
      <c r="O125" s="201">
        <v>9301001</v>
      </c>
      <c r="AM125" s="217" t="s">
        <v>615</v>
      </c>
      <c r="AN125" s="217" t="s">
        <v>419</v>
      </c>
      <c r="AO125" s="217" t="s">
        <v>1354</v>
      </c>
      <c r="AP125" s="449" t="s">
        <v>1448</v>
      </c>
      <c r="AQ125" s="217" t="s">
        <v>77</v>
      </c>
      <c r="AR125" s="217" t="s">
        <v>730</v>
      </c>
      <c r="AS125" s="217" t="s">
        <v>724</v>
      </c>
      <c r="AT125" s="217">
        <v>0</v>
      </c>
      <c r="AU125" s="217" t="s">
        <v>3</v>
      </c>
      <c r="AV125" s="217">
        <v>20</v>
      </c>
    </row>
    <row r="126" spans="14:48" x14ac:dyDescent="0.2">
      <c r="AM126" s="217" t="s">
        <v>1381</v>
      </c>
      <c r="AN126" s="217" t="s">
        <v>419</v>
      </c>
      <c r="AO126" s="217" t="s">
        <v>1354</v>
      </c>
      <c r="AP126" s="449" t="s">
        <v>1449</v>
      </c>
      <c r="AQ126" s="217" t="s">
        <v>77</v>
      </c>
      <c r="AR126" s="217" t="s">
        <v>1382</v>
      </c>
      <c r="AS126" s="217" t="s">
        <v>724</v>
      </c>
      <c r="AT126" s="217">
        <v>0</v>
      </c>
      <c r="AU126" s="217" t="s">
        <v>3</v>
      </c>
      <c r="AV126" s="217">
        <v>10</v>
      </c>
    </row>
    <row r="127" spans="14:48" x14ac:dyDescent="0.2">
      <c r="AM127" s="217" t="s">
        <v>1383</v>
      </c>
      <c r="AN127" s="217" t="s">
        <v>419</v>
      </c>
      <c r="AO127" s="217" t="s">
        <v>1355</v>
      </c>
      <c r="AP127" s="449" t="s">
        <v>1450</v>
      </c>
      <c r="AQ127" s="217" t="s">
        <v>77</v>
      </c>
      <c r="AR127" s="217" t="s">
        <v>789</v>
      </c>
      <c r="AS127" s="217" t="s">
        <v>732</v>
      </c>
      <c r="AT127" s="217">
        <v>0</v>
      </c>
      <c r="AU127" s="217" t="s">
        <v>3</v>
      </c>
      <c r="AV127" s="217">
        <v>1500</v>
      </c>
    </row>
    <row r="128" spans="14:48" x14ac:dyDescent="0.2">
      <c r="AM128" s="217" t="s">
        <v>1384</v>
      </c>
      <c r="AN128" s="217" t="s">
        <v>174</v>
      </c>
      <c r="AO128" s="217" t="s">
        <v>1354</v>
      </c>
      <c r="AP128" s="449" t="s">
        <v>1385</v>
      </c>
      <c r="AQ128" s="217" t="s">
        <v>77</v>
      </c>
      <c r="AR128" s="217" t="s">
        <v>1382</v>
      </c>
      <c r="AS128" s="217" t="s">
        <v>732</v>
      </c>
      <c r="AT128" s="217">
        <v>0</v>
      </c>
      <c r="AU128" s="217" t="s">
        <v>3</v>
      </c>
      <c r="AV128" s="217">
        <v>10</v>
      </c>
    </row>
    <row r="129" spans="39:48" x14ac:dyDescent="0.2">
      <c r="AM129" s="217" t="s">
        <v>1386</v>
      </c>
      <c r="AN129" s="217" t="s">
        <v>174</v>
      </c>
      <c r="AO129" s="217" t="s">
        <v>1354</v>
      </c>
      <c r="AP129" s="449" t="s">
        <v>1387</v>
      </c>
      <c r="AQ129" s="217" t="s">
        <v>77</v>
      </c>
      <c r="AR129" s="217" t="s">
        <v>1382</v>
      </c>
      <c r="AS129" s="217" t="s">
        <v>732</v>
      </c>
      <c r="AT129" s="217">
        <v>0</v>
      </c>
      <c r="AU129" s="217" t="s">
        <v>3</v>
      </c>
      <c r="AV129" s="217">
        <v>30</v>
      </c>
    </row>
    <row r="130" spans="39:48" x14ac:dyDescent="0.2">
      <c r="AM130" s="217" t="s">
        <v>1388</v>
      </c>
      <c r="AN130" s="217" t="s">
        <v>174</v>
      </c>
      <c r="AO130" s="217" t="s">
        <v>1354</v>
      </c>
      <c r="AP130" s="449" t="s">
        <v>1389</v>
      </c>
      <c r="AQ130" s="217" t="s">
        <v>77</v>
      </c>
      <c r="AR130" s="217" t="s">
        <v>1382</v>
      </c>
      <c r="AS130" s="217" t="s">
        <v>732</v>
      </c>
      <c r="AT130" s="217">
        <v>0</v>
      </c>
      <c r="AU130" s="217" t="s">
        <v>3</v>
      </c>
      <c r="AV130" s="217">
        <v>10</v>
      </c>
    </row>
    <row r="131" spans="39:48" x14ac:dyDescent="0.2">
      <c r="AM131" s="217" t="s">
        <v>1390</v>
      </c>
      <c r="AN131" s="217" t="s">
        <v>174</v>
      </c>
      <c r="AO131" s="217" t="s">
        <v>1354</v>
      </c>
      <c r="AP131" s="449" t="s">
        <v>1391</v>
      </c>
      <c r="AQ131" s="217" t="s">
        <v>77</v>
      </c>
      <c r="AR131" s="217" t="s">
        <v>789</v>
      </c>
      <c r="AS131" s="217" t="s">
        <v>732</v>
      </c>
      <c r="AT131" s="217">
        <v>0</v>
      </c>
      <c r="AU131" s="217" t="s">
        <v>3</v>
      </c>
      <c r="AV131" s="217">
        <v>20</v>
      </c>
    </row>
    <row r="132" spans="39:48" x14ac:dyDescent="0.2">
      <c r="AM132" s="217" t="s">
        <v>1392</v>
      </c>
      <c r="AN132" s="217" t="s">
        <v>174</v>
      </c>
      <c r="AO132" s="217" t="s">
        <v>1354</v>
      </c>
      <c r="AP132" s="449" t="s">
        <v>1394</v>
      </c>
      <c r="AQ132" s="217" t="s">
        <v>1393</v>
      </c>
      <c r="AR132" s="217" t="s">
        <v>789</v>
      </c>
      <c r="AS132" s="217" t="s">
        <v>724</v>
      </c>
      <c r="AT132" s="217">
        <v>0</v>
      </c>
      <c r="AU132" s="217" t="s">
        <v>3</v>
      </c>
      <c r="AV132" s="217">
        <v>8</v>
      </c>
    </row>
    <row r="133" spans="39:48" x14ac:dyDescent="0.2">
      <c r="AM133" s="233" t="s">
        <v>1397</v>
      </c>
    </row>
    <row r="134" spans="39:48" x14ac:dyDescent="0.2">
      <c r="AM134" s="217" t="s">
        <v>1396</v>
      </c>
      <c r="AN134" s="217" t="s">
        <v>419</v>
      </c>
      <c r="AO134" s="217" t="s">
        <v>1355</v>
      </c>
      <c r="AP134" s="449" t="s">
        <v>1451</v>
      </c>
      <c r="AQ134" s="217" t="s">
        <v>755</v>
      </c>
      <c r="AR134" s="217" t="s">
        <v>789</v>
      </c>
      <c r="AS134" s="217" t="s">
        <v>724</v>
      </c>
      <c r="AT134" s="217" t="s">
        <v>3</v>
      </c>
      <c r="AU134" s="217" t="s">
        <v>3</v>
      </c>
      <c r="AV134" s="217" t="s">
        <v>799</v>
      </c>
    </row>
    <row r="135" spans="39:48" x14ac:dyDescent="0.2">
      <c r="AM135" s="217" t="s">
        <v>1398</v>
      </c>
      <c r="AN135" s="217" t="s">
        <v>419</v>
      </c>
      <c r="AO135" s="217" t="s">
        <v>1355</v>
      </c>
      <c r="AP135" s="449" t="s">
        <v>1452</v>
      </c>
      <c r="AQ135" s="217" t="s">
        <v>77</v>
      </c>
      <c r="AR135" s="217" t="s">
        <v>1382</v>
      </c>
      <c r="AS135" s="217" t="s">
        <v>732</v>
      </c>
      <c r="AT135" s="217">
        <v>0</v>
      </c>
      <c r="AU135" s="217" t="s">
        <v>3</v>
      </c>
      <c r="AV135" s="217">
        <v>12</v>
      </c>
    </row>
    <row r="136" spans="39:48" x14ac:dyDescent="0.2">
      <c r="AM136" s="217" t="s">
        <v>1399</v>
      </c>
      <c r="AN136" s="217" t="s">
        <v>419</v>
      </c>
      <c r="AO136" s="217" t="s">
        <v>1355</v>
      </c>
      <c r="AP136" s="449" t="s">
        <v>1453</v>
      </c>
      <c r="AQ136" s="217" t="s">
        <v>77</v>
      </c>
      <c r="AR136" s="217" t="s">
        <v>789</v>
      </c>
      <c r="AS136" s="217" t="s">
        <v>732</v>
      </c>
      <c r="AT136" s="217">
        <v>0</v>
      </c>
      <c r="AU136" s="217" t="s">
        <v>3</v>
      </c>
      <c r="AV136" s="217">
        <v>24</v>
      </c>
    </row>
    <row r="137" spans="39:48" x14ac:dyDescent="0.2">
      <c r="AM137" s="217" t="s">
        <v>1400</v>
      </c>
      <c r="AN137" s="217" t="s">
        <v>174</v>
      </c>
      <c r="AO137" s="217" t="s">
        <v>1354</v>
      </c>
      <c r="AP137" s="449" t="s">
        <v>1401</v>
      </c>
      <c r="AQ137" s="217" t="s">
        <v>77</v>
      </c>
      <c r="AR137" s="217" t="s">
        <v>1382</v>
      </c>
      <c r="AS137" s="217" t="s">
        <v>732</v>
      </c>
      <c r="AT137" s="217">
        <v>0</v>
      </c>
      <c r="AU137" s="217" t="s">
        <v>3</v>
      </c>
      <c r="AV137" s="217">
        <v>4</v>
      </c>
    </row>
    <row r="138" spans="39:48" x14ac:dyDescent="0.2">
      <c r="AM138" s="217" t="s">
        <v>1402</v>
      </c>
      <c r="AN138" s="217" t="s">
        <v>174</v>
      </c>
      <c r="AO138" s="217" t="s">
        <v>1354</v>
      </c>
      <c r="AP138" s="449" t="s">
        <v>1403</v>
      </c>
      <c r="AQ138" s="217" t="s">
        <v>77</v>
      </c>
      <c r="AR138" s="217" t="s">
        <v>789</v>
      </c>
      <c r="AS138" s="217" t="s">
        <v>732</v>
      </c>
      <c r="AT138" s="217">
        <v>0</v>
      </c>
      <c r="AU138" s="217" t="s">
        <v>3</v>
      </c>
      <c r="AV138" s="217">
        <v>24</v>
      </c>
    </row>
    <row r="139" spans="39:48" x14ac:dyDescent="0.2">
      <c r="AM139" s="217" t="s">
        <v>1404</v>
      </c>
      <c r="AN139" s="217" t="s">
        <v>174</v>
      </c>
      <c r="AO139" s="217" t="s">
        <v>1354</v>
      </c>
      <c r="AP139" s="449" t="s">
        <v>1405</v>
      </c>
      <c r="AQ139" s="217" t="s">
        <v>77</v>
      </c>
      <c r="AR139" s="217" t="s">
        <v>789</v>
      </c>
      <c r="AS139" s="217" t="s">
        <v>732</v>
      </c>
      <c r="AT139" s="217">
        <v>0</v>
      </c>
      <c r="AU139" s="217" t="s">
        <v>3</v>
      </c>
      <c r="AV139" s="217">
        <v>12</v>
      </c>
    </row>
    <row r="140" spans="39:48" x14ac:dyDescent="0.2">
      <c r="AM140" s="217" t="s">
        <v>1406</v>
      </c>
      <c r="AN140" s="217" t="s">
        <v>174</v>
      </c>
      <c r="AO140" s="217" t="s">
        <v>1354</v>
      </c>
      <c r="AP140" s="449" t="s">
        <v>1407</v>
      </c>
      <c r="AQ140" s="217" t="s">
        <v>77</v>
      </c>
      <c r="AR140" s="217" t="s">
        <v>789</v>
      </c>
      <c r="AS140" s="217" t="s">
        <v>732</v>
      </c>
      <c r="AT140" s="217">
        <v>0</v>
      </c>
      <c r="AU140" s="217" t="s">
        <v>3</v>
      </c>
      <c r="AV140" s="217">
        <v>20</v>
      </c>
    </row>
    <row r="141" spans="39:48" x14ac:dyDescent="0.2">
      <c r="AM141" s="217" t="s">
        <v>1408</v>
      </c>
      <c r="AN141" s="217" t="s">
        <v>174</v>
      </c>
      <c r="AO141" s="217" t="s">
        <v>1354</v>
      </c>
      <c r="AP141" s="449" t="s">
        <v>1409</v>
      </c>
      <c r="AQ141" s="217" t="s">
        <v>77</v>
      </c>
      <c r="AR141" s="217" t="s">
        <v>789</v>
      </c>
      <c r="AS141" s="217" t="s">
        <v>732</v>
      </c>
      <c r="AT141" s="217">
        <v>0</v>
      </c>
      <c r="AU141" s="217" t="s">
        <v>3</v>
      </c>
      <c r="AV141" s="217">
        <v>10</v>
      </c>
    </row>
    <row r="142" spans="39:48" x14ac:dyDescent="0.2">
      <c r="AM142" s="217" t="s">
        <v>1410</v>
      </c>
      <c r="AN142" s="217" t="s">
        <v>174</v>
      </c>
      <c r="AO142" s="217" t="s">
        <v>1354</v>
      </c>
      <c r="AP142" s="449" t="s">
        <v>1412</v>
      </c>
      <c r="AQ142" s="217" t="s">
        <v>77</v>
      </c>
      <c r="AR142" s="217" t="s">
        <v>1411</v>
      </c>
      <c r="AS142" s="217" t="s">
        <v>732</v>
      </c>
      <c r="AT142" s="217">
        <v>0</v>
      </c>
      <c r="AU142" s="217" t="s">
        <v>3</v>
      </c>
      <c r="AV142" s="217">
        <v>10</v>
      </c>
    </row>
    <row r="143" spans="39:48" x14ac:dyDescent="0.2">
      <c r="AM143" s="217" t="s">
        <v>1413</v>
      </c>
      <c r="AN143" s="217" t="s">
        <v>174</v>
      </c>
      <c r="AO143" s="217" t="s">
        <v>1354</v>
      </c>
      <c r="AP143" s="449" t="s">
        <v>1414</v>
      </c>
      <c r="AQ143" s="217" t="s">
        <v>755</v>
      </c>
      <c r="AR143" s="217" t="s">
        <v>789</v>
      </c>
      <c r="AS143" s="217" t="s">
        <v>724</v>
      </c>
      <c r="AT143" s="217" t="s">
        <v>3</v>
      </c>
      <c r="AU143" s="217" t="s">
        <v>3</v>
      </c>
      <c r="AV143" s="217" t="s">
        <v>799</v>
      </c>
    </row>
    <row r="144" spans="39:48" x14ac:dyDescent="0.2">
      <c r="AM144" s="217" t="s">
        <v>1415</v>
      </c>
      <c r="AN144" s="217" t="s">
        <v>174</v>
      </c>
      <c r="AO144" s="217" t="s">
        <v>1354</v>
      </c>
      <c r="AP144" s="449" t="s">
        <v>1416</v>
      </c>
      <c r="AQ144" s="217" t="s">
        <v>77</v>
      </c>
      <c r="AR144" s="217" t="s">
        <v>1382</v>
      </c>
      <c r="AS144" s="217" t="s">
        <v>732</v>
      </c>
      <c r="AT144" s="217">
        <v>0</v>
      </c>
      <c r="AU144" s="217" t="s">
        <v>3</v>
      </c>
      <c r="AV144" s="217">
        <v>12</v>
      </c>
    </row>
    <row r="145" spans="39:48" x14ac:dyDescent="0.2">
      <c r="AM145" s="233" t="s">
        <v>1421</v>
      </c>
    </row>
    <row r="146" spans="39:48" x14ac:dyDescent="0.2">
      <c r="AM146" s="217" t="s">
        <v>1418</v>
      </c>
      <c r="AN146" s="217" t="s">
        <v>419</v>
      </c>
      <c r="AO146" s="217" t="s">
        <v>1355</v>
      </c>
      <c r="AP146" s="449" t="s">
        <v>1422</v>
      </c>
      <c r="AQ146" s="217" t="s">
        <v>77</v>
      </c>
      <c r="AR146" s="217" t="s">
        <v>1419</v>
      </c>
      <c r="AS146" s="217" t="s">
        <v>1420</v>
      </c>
      <c r="AT146" s="217">
        <v>80</v>
      </c>
      <c r="AU146" s="217">
        <v>2019</v>
      </c>
      <c r="AV146" s="217">
        <v>105</v>
      </c>
    </row>
    <row r="147" spans="39:48" x14ac:dyDescent="0.2">
      <c r="AM147" s="217" t="s">
        <v>1423</v>
      </c>
      <c r="AN147" s="217" t="s">
        <v>419</v>
      </c>
      <c r="AO147" s="217" t="s">
        <v>1355</v>
      </c>
      <c r="AP147" s="449" t="s">
        <v>1424</v>
      </c>
      <c r="AQ147" s="217" t="s">
        <v>77</v>
      </c>
      <c r="AR147" s="217" t="s">
        <v>1419</v>
      </c>
      <c r="AS147" s="217" t="s">
        <v>1420</v>
      </c>
      <c r="AT147" s="217">
        <v>17</v>
      </c>
      <c r="AU147" s="217">
        <v>2019</v>
      </c>
      <c r="AV147" s="217">
        <v>60</v>
      </c>
    </row>
    <row r="148" spans="39:48" x14ac:dyDescent="0.2">
      <c r="AM148" s="217" t="s">
        <v>1425</v>
      </c>
      <c r="AN148" s="217" t="s">
        <v>174</v>
      </c>
      <c r="AO148" s="217" t="s">
        <v>1354</v>
      </c>
      <c r="AP148" s="449" t="s">
        <v>1427</v>
      </c>
      <c r="AQ148" s="217" t="s">
        <v>77</v>
      </c>
      <c r="AR148" s="217" t="s">
        <v>1426</v>
      </c>
      <c r="AS148" s="217" t="s">
        <v>732</v>
      </c>
      <c r="AT148" s="217">
        <v>0</v>
      </c>
      <c r="AU148" s="217" t="s">
        <v>3</v>
      </c>
      <c r="AV148" s="217">
        <v>11500</v>
      </c>
    </row>
    <row r="149" spans="39:48" x14ac:dyDescent="0.2">
      <c r="AM149" s="217" t="s">
        <v>1428</v>
      </c>
      <c r="AN149" s="217" t="s">
        <v>174</v>
      </c>
      <c r="AO149" s="217" t="s">
        <v>1354</v>
      </c>
      <c r="AP149" s="449" t="s">
        <v>1429</v>
      </c>
      <c r="AQ149" s="217" t="s">
        <v>77</v>
      </c>
      <c r="AR149" s="217" t="s">
        <v>739</v>
      </c>
      <c r="AS149" s="217" t="s">
        <v>732</v>
      </c>
      <c r="AT149" s="217">
        <v>0</v>
      </c>
      <c r="AU149" s="217" t="s">
        <v>3</v>
      </c>
      <c r="AV149" s="217">
        <v>80</v>
      </c>
    </row>
    <row r="150" spans="39:48" x14ac:dyDescent="0.2">
      <c r="AM150" s="217" t="s">
        <v>1430</v>
      </c>
      <c r="AN150" s="217" t="s">
        <v>174</v>
      </c>
      <c r="AO150" s="217" t="s">
        <v>1354</v>
      </c>
      <c r="AP150" s="449" t="s">
        <v>1431</v>
      </c>
      <c r="AQ150" s="217" t="s">
        <v>77</v>
      </c>
      <c r="AR150" s="217" t="s">
        <v>739</v>
      </c>
      <c r="AS150" s="217" t="s">
        <v>732</v>
      </c>
      <c r="AT150" s="217">
        <v>0</v>
      </c>
      <c r="AU150" s="217" t="s">
        <v>3</v>
      </c>
      <c r="AV150" s="217">
        <v>80</v>
      </c>
    </row>
    <row r="151" spans="39:48" x14ac:dyDescent="0.2">
      <c r="AM151" s="217" t="s">
        <v>1432</v>
      </c>
      <c r="AN151" s="217" t="s">
        <v>174</v>
      </c>
      <c r="AO151" s="217" t="s">
        <v>1354</v>
      </c>
      <c r="AP151" s="449" t="s">
        <v>1433</v>
      </c>
      <c r="AQ151" s="217" t="s">
        <v>77</v>
      </c>
      <c r="AR151" s="217" t="s">
        <v>739</v>
      </c>
      <c r="AS151" s="217" t="s">
        <v>732</v>
      </c>
      <c r="AT151" s="217">
        <v>0</v>
      </c>
      <c r="AU151" s="217" t="s">
        <v>3</v>
      </c>
      <c r="AV151" s="217">
        <v>10</v>
      </c>
    </row>
    <row r="152" spans="39:48" x14ac:dyDescent="0.2">
      <c r="AM152" s="217" t="s">
        <v>1434</v>
      </c>
      <c r="AN152" s="217" t="s">
        <v>174</v>
      </c>
      <c r="AO152" s="217" t="s">
        <v>1354</v>
      </c>
      <c r="AP152" s="449" t="s">
        <v>1435</v>
      </c>
      <c r="AQ152" s="217" t="s">
        <v>77</v>
      </c>
      <c r="AR152" s="217" t="s">
        <v>739</v>
      </c>
      <c r="AS152" s="217" t="s">
        <v>732</v>
      </c>
      <c r="AT152" s="217">
        <v>0</v>
      </c>
      <c r="AU152" s="217" t="s">
        <v>3</v>
      </c>
      <c r="AV152" s="217">
        <v>10</v>
      </c>
    </row>
    <row r="153" spans="39:48" x14ac:dyDescent="0.2">
      <c r="AM153" s="217" t="s">
        <v>1436</v>
      </c>
      <c r="AN153" s="217" t="s">
        <v>174</v>
      </c>
      <c r="AO153" s="217" t="s">
        <v>1354</v>
      </c>
      <c r="AP153" s="449" t="s">
        <v>1437</v>
      </c>
      <c r="AQ153" s="217" t="s">
        <v>77</v>
      </c>
      <c r="AR153" s="217" t="s">
        <v>739</v>
      </c>
      <c r="AS153" s="217" t="s">
        <v>732</v>
      </c>
      <c r="AT153" s="217">
        <v>0</v>
      </c>
      <c r="AU153" s="217" t="s">
        <v>3</v>
      </c>
      <c r="AV153" s="217">
        <v>60</v>
      </c>
    </row>
    <row r="154" spans="39:48" x14ac:dyDescent="0.2">
      <c r="AM154" s="233" t="s">
        <v>1441</v>
      </c>
    </row>
    <row r="155" spans="39:48" x14ac:dyDescent="0.2">
      <c r="AM155" s="217" t="s">
        <v>633</v>
      </c>
      <c r="AN155" s="217" t="s">
        <v>419</v>
      </c>
      <c r="AO155" s="217" t="s">
        <v>1355</v>
      </c>
      <c r="AP155" s="449" t="s">
        <v>1442</v>
      </c>
      <c r="AQ155" s="217" t="s">
        <v>752</v>
      </c>
      <c r="AR155" s="217" t="s">
        <v>753</v>
      </c>
      <c r="AS155" s="217" t="s">
        <v>724</v>
      </c>
      <c r="AT155" s="217" t="s">
        <v>1439</v>
      </c>
      <c r="AU155" s="217" t="s">
        <v>725</v>
      </c>
      <c r="AV155" s="217" t="s">
        <v>1440</v>
      </c>
    </row>
    <row r="156" spans="39:48" x14ac:dyDescent="0.2">
      <c r="AM156" s="217" t="s">
        <v>632</v>
      </c>
      <c r="AN156" s="217" t="s">
        <v>419</v>
      </c>
      <c r="AO156" s="217" t="s">
        <v>1355</v>
      </c>
      <c r="AP156" s="449" t="s">
        <v>1444</v>
      </c>
      <c r="AQ156" s="217" t="s">
        <v>752</v>
      </c>
      <c r="AR156" s="217" t="s">
        <v>753</v>
      </c>
      <c r="AS156" s="217" t="s">
        <v>724</v>
      </c>
      <c r="AT156" s="217" t="s">
        <v>1443</v>
      </c>
      <c r="AU156" s="217" t="s">
        <v>725</v>
      </c>
      <c r="AV156" s="217" t="s">
        <v>1440</v>
      </c>
    </row>
    <row r="157" spans="39:48" x14ac:dyDescent="0.2">
      <c r="AM157" s="217" t="s">
        <v>634</v>
      </c>
      <c r="AN157" s="217" t="s">
        <v>419</v>
      </c>
      <c r="AO157" s="217" t="s">
        <v>1354</v>
      </c>
      <c r="AP157" s="449" t="s">
        <v>1445</v>
      </c>
      <c r="AQ157" s="217" t="s">
        <v>755</v>
      </c>
      <c r="AR157" s="217" t="s">
        <v>753</v>
      </c>
      <c r="AS157" s="217" t="s">
        <v>724</v>
      </c>
      <c r="AT157" s="217" t="s">
        <v>3</v>
      </c>
      <c r="AU157" s="217" t="s">
        <v>3</v>
      </c>
      <c r="AV157" s="217" t="s">
        <v>781</v>
      </c>
    </row>
    <row r="158" spans="39:48" x14ac:dyDescent="0.2">
      <c r="AM158" s="217" t="s">
        <v>637</v>
      </c>
      <c r="AN158" s="217" t="s">
        <v>174</v>
      </c>
      <c r="AO158" s="217" t="s">
        <v>1354</v>
      </c>
      <c r="AP158" s="449" t="s">
        <v>1446</v>
      </c>
      <c r="AQ158" s="217" t="s">
        <v>77</v>
      </c>
      <c r="AR158" s="217" t="s">
        <v>757</v>
      </c>
      <c r="AS158" s="217" t="s">
        <v>732</v>
      </c>
      <c r="AT158" s="217">
        <v>0</v>
      </c>
      <c r="AU158" s="217" t="s">
        <v>3</v>
      </c>
      <c r="AV158" s="217">
        <v>4</v>
      </c>
    </row>
    <row r="159" spans="39:48" x14ac:dyDescent="0.2">
      <c r="AM159" s="217" t="s">
        <v>1467</v>
      </c>
      <c r="AN159" s="217" t="s">
        <v>174</v>
      </c>
      <c r="AO159" s="217" t="s">
        <v>1354</v>
      </c>
      <c r="AP159" s="449" t="s">
        <v>1447</v>
      </c>
      <c r="AQ159" s="217" t="s">
        <v>77</v>
      </c>
      <c r="AR159" s="217" t="s">
        <v>1468</v>
      </c>
      <c r="AS159" s="217" t="s">
        <v>732</v>
      </c>
      <c r="AT159" s="217">
        <v>0</v>
      </c>
      <c r="AU159" s="217" t="s">
        <v>3</v>
      </c>
      <c r="AV159" s="217">
        <v>60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399" t="s">
        <v>1318</v>
      </c>
      <c r="B1" s="399" t="s">
        <v>1319</v>
      </c>
      <c r="C1" s="399" t="s">
        <v>1316</v>
      </c>
      <c r="D1" s="399" t="s">
        <v>1317</v>
      </c>
    </row>
    <row r="2" spans="1:4" x14ac:dyDescent="0.2">
      <c r="A2" s="430" t="s">
        <v>1343</v>
      </c>
      <c r="B2" s="431" t="b">
        <f>ISERROR(VLOOKUP(sector_specified,grant_rates_table,2,FALSE))</f>
        <v>1</v>
      </c>
      <c r="C2" s="432" t="s">
        <v>1342</v>
      </c>
      <c r="D2" s="432" t="s">
        <v>1341</v>
      </c>
    </row>
    <row r="3" spans="1:4" x14ac:dyDescent="0.2">
      <c r="A3" s="433" t="s">
        <v>1320</v>
      </c>
      <c r="B3" s="379" t="e">
        <f>project_grant_rate&gt;maximum_grant_rate</f>
        <v>#DIV/0!</v>
      </c>
      <c r="C3" s="434" t="str">
        <f>"If using cash co-financing only, you need to increase your co-financing to EUR "&amp;total_eligible_expenditure_total-ROUND(total_eligible_expenditure_total*maximum_grant_rate,0)</f>
        <v>If using cash co-financing only, you need to increase your co-financing to EUR 0</v>
      </c>
      <c r="D3" s="434"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3" t="s">
        <v>1364</v>
      </c>
      <c r="B4" s="379" t="e">
        <f>IF(AND(sector=nonprofit_sector_verification_title,sector_specified&lt;&gt;churches_verification_title,project_grant_rate&gt;maximum_grant_rate),TRUE)</f>
        <v>#DIV/0!</v>
      </c>
      <c r="C4" s="434" t="str">
        <f>"If using in-kind, in-kind cofinancing should be equal to the figure in point 5.1.17, i.e. EUR "&amp;in_kind_maximum_eur</f>
        <v>If using in-kind, in-kind cofinancing should be equal to the figure in point 5.1.17, i.e. EUR 0</v>
      </c>
      <c r="D4" s="434"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3" t="s">
        <v>1365</v>
      </c>
      <c r="B5" s="379" t="e">
        <f>IF(AND(sector=nonprofit_sector_verification_title,sector_specified&lt;&gt;churches_verification_title,maximum_in_kind_percentage=0.5,project_grant_rate&gt;maximum_grant_rate),TRUE)</f>
        <v>#DIV/0!</v>
      </c>
      <c r="C5" s="434" t="str">
        <f>"In this case, cash-cofinancing should be equal to the the same figure, i.e. EUR "&amp;in_kind_maximum_eur</f>
        <v>In this case, cash-cofinancing should be equal to the the same figure, i.e. EUR 0</v>
      </c>
      <c r="D5" s="434" t="str">
        <f>"V tomto prípade by sa peňažné spolufinancovanie malo tiež rovnať tejto hodnote, t.j. "&amp;in_kind_maximum_eur &amp; " eur."</f>
        <v>V tomto prípade by sa peňažné spolufinancovanie malo tiež rovnať tejto hodnote, t.j. 0 eur.</v>
      </c>
    </row>
    <row r="6" spans="1:4" x14ac:dyDescent="0.2">
      <c r="A6" s="433" t="s">
        <v>1321</v>
      </c>
      <c r="B6" s="379" t="b">
        <f>grant_requested_total&gt;maximum_project_grant_requested</f>
        <v>0</v>
      </c>
      <c r="C6" s="434" t="s">
        <v>1322</v>
      </c>
      <c r="D6" s="434" t="s">
        <v>1323</v>
      </c>
    </row>
    <row r="7" spans="1:4" x14ac:dyDescent="0.2">
      <c r="A7" s="433" t="s">
        <v>1324</v>
      </c>
      <c r="B7" s="379" t="b">
        <f>grant_requested_total&lt;minimum_project_grant_requested</f>
        <v>1</v>
      </c>
      <c r="C7" s="434" t="s">
        <v>1330</v>
      </c>
      <c r="D7" s="434" t="s">
        <v>1325</v>
      </c>
    </row>
    <row r="8" spans="1:4" x14ac:dyDescent="0.2">
      <c r="A8" s="433" t="s">
        <v>1326</v>
      </c>
      <c r="B8" s="379" t="b">
        <f>actual_in_kind_percentage&gt;maximum_in_kind_percentage</f>
        <v>0</v>
      </c>
      <c r="C8" s="434" t="s">
        <v>1356</v>
      </c>
      <c r="D8" s="434" t="s">
        <v>1357</v>
      </c>
    </row>
    <row r="9" spans="1:4" x14ac:dyDescent="0.2">
      <c r="A9" s="433" t="s">
        <v>1327</v>
      </c>
      <c r="B9" s="379" t="b">
        <f>reserve_total&gt;maximum_reserve</f>
        <v>0</v>
      </c>
      <c r="C9" s="434" t="s">
        <v>1331</v>
      </c>
      <c r="D9" s="434" t="s">
        <v>1328</v>
      </c>
    </row>
    <row r="10" spans="1:4" x14ac:dyDescent="0.2">
      <c r="A10" s="435"/>
      <c r="B10" s="379"/>
      <c r="C10" s="379"/>
      <c r="D10" s="379"/>
    </row>
    <row r="11" spans="1:4" x14ac:dyDescent="0.2">
      <c r="A11" s="435"/>
      <c r="B11" s="379"/>
      <c r="C11" s="379"/>
      <c r="D11" s="379"/>
    </row>
    <row r="12" spans="1:4" ht="13.5" thickBot="1" x14ac:dyDescent="0.25">
      <c r="A12" s="436"/>
      <c r="B12" s="437"/>
      <c r="C12" s="437"/>
      <c r="D12" s="4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1156</vt:i4>
      </vt:variant>
    </vt:vector>
  </HeadingPairs>
  <TitlesOfParts>
    <vt:vector size="1161" baseType="lpstr">
      <vt:lpstr>Applicant</vt:lpstr>
      <vt:lpstr>Budget</vt:lpstr>
      <vt:lpstr>Overview</vt:lpstr>
      <vt:lpstr>Lists</vt:lpstr>
      <vt:lpstr>Errors</vt:lpstr>
      <vt:lpstr>Lists!_ftn1</vt:lpstr>
      <vt:lpstr>Lists!_ftn2</vt:lpstr>
      <vt:lpstr>Lists!_ftn3</vt:lpstr>
      <vt:lpstr>Lists!_ftn4</vt:lpstr>
      <vt:lpstr>Lists!_ftnref1</vt:lpstr>
      <vt:lpstr>Lists!_ftnref2</vt:lpstr>
      <vt:lpstr>Lists!_ftnref3</vt:lpstr>
      <vt:lpstr>Lists!_ftnref4</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indicators_LDI_OTC1</vt:lpstr>
      <vt:lpstr>indicators_LDI_OTC1_table</vt:lpstr>
      <vt:lpstr>indicators_LDI_OTC2</vt:lpstr>
      <vt:lpstr>indicators_LDI_OTC2_table</vt:lpstr>
      <vt:lpstr>indicators_LDI_OTC3</vt:lpstr>
      <vt:lpstr>indicators_LDI_OTC3_table</vt:lpstr>
      <vt:lpstr>indicators_LDI_OTCB</vt:lpstr>
      <vt:lpstr>indicators_LDI_OTCB_table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LDI_OTC1</vt:lpstr>
      <vt:lpstr>LDI_OTC2</vt:lpstr>
      <vt:lpstr>LDI_OTC3</vt:lpstr>
      <vt:lpstr>LDI_OTCB</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measures_advocacy</vt:lpstr>
      <vt:lpstr>measures_awareness_raising</vt:lpstr>
      <vt:lpstr>measures_capacity_building</vt:lpstr>
      <vt:lpstr>measures_education</vt:lpstr>
      <vt:lpstr>measures_infrastructure</vt:lpstr>
      <vt:lpstr>measures_research</vt:lpstr>
      <vt:lpstr>measures_services_provision</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outcomes_LDI</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risk7</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TG_Beneficiary1</vt:lpstr>
      <vt:lpstr>TG_Beneficiary2</vt:lpstr>
      <vt:lpstr>TG_Beneficiary3</vt:lpstr>
      <vt:lpstr>TG_business</vt:lpstr>
      <vt:lpstr>TG_category1</vt:lpstr>
      <vt:lpstr>TG_category2</vt:lpstr>
      <vt:lpstr>TG_category3</vt:lpstr>
      <vt:lpstr>TG_culture</vt:lpstr>
      <vt:lpstr>TG_education</vt:lpstr>
      <vt:lpstr>TG_general</vt:lpstr>
      <vt:lpstr>TG_health</vt:lpstr>
      <vt:lpstr>TG_Intermediary1</vt:lpstr>
      <vt:lpstr>TG_Intermediary2</vt:lpstr>
      <vt:lpstr>TG_Intermediary3</vt:lpstr>
      <vt:lpstr>TG_justice</vt:lpstr>
      <vt:lpstr>TG_migration</vt:lpstr>
      <vt:lpstr>TG_minority</vt:lpstr>
      <vt:lpstr>TG_policy</vt:lpstr>
      <vt:lpstr>TG_specification1</vt:lpstr>
      <vt:lpstr>TG_specification2</vt:lpstr>
      <vt:lpstr>TG_specification3</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Jana Dacková</cp:lastModifiedBy>
  <cp:lastPrinted>2021-04-29T13:55:01Z</cp:lastPrinted>
  <dcterms:created xsi:type="dcterms:W3CDTF">2005-08-12T08:07:53Z</dcterms:created>
  <dcterms:modified xsi:type="dcterms:W3CDTF">2021-05-31T12:50:40Z</dcterms:modified>
</cp:coreProperties>
</file>